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3" activeTab="1"/>
  </bookViews>
  <sheets>
    <sheet name="Read Me" sheetId="1" r:id="rId1"/>
    <sheet name="Assumptions" sheetId="2" r:id="rId2"/>
    <sheet name="Current Costs" sheetId="3" r:id="rId3"/>
    <sheet name="Consolidation Costs" sheetId="4" r:id="rId4"/>
    <sheet name="Results" sheetId="5" r:id="rId5"/>
    <sheet name="Other Considerations" sheetId="6" r:id="rId6"/>
    <sheet name="R-OLTP" sheetId="7" r:id="rId7"/>
  </sheets>
  <definedNames>
    <definedName name="Book_Value">'Assumptions'!$E$29</definedName>
    <definedName name="Corp_Tax_Rate">'Assumptions'!$E$145</definedName>
    <definedName name="Hours_per_Year">'Assumptions'!$E$58</definedName>
    <definedName name="Salvage_Value">'Assumptions'!$E$30</definedName>
    <definedName name="WACC">'Assumptions'!$E$142</definedName>
  </definedNames>
  <calcPr fullCalcOnLoad="1"/>
</workbook>
</file>

<file path=xl/comments2.xml><?xml version="1.0" encoding="utf-8"?>
<comments xmlns="http://schemas.openxmlformats.org/spreadsheetml/2006/main">
  <authors>
    <author>Bruce Spencer</author>
  </authors>
  <commentList>
    <comment ref="C31" authorId="0">
      <text>
        <r>
          <rPr>
            <b/>
            <sz val="8"/>
            <rFont val="Tahoma"/>
            <family val="0"/>
          </rPr>
          <t xml:space="preserve">Combined performance of all systems.  Must use benchmark that is relevant  for your installation:
TPC-C
TPC-D
SpecMark
Webmark
etc
</t>
        </r>
      </text>
    </comment>
    <comment ref="C122" authorId="0">
      <text>
        <r>
          <rPr>
            <b/>
            <sz val="8"/>
            <rFont val="Tahoma"/>
            <family val="0"/>
          </rPr>
          <t xml:space="preserve">S/W charges are often based per servers.  Reducing the number of servers reduces software costs
</t>
        </r>
      </text>
    </comment>
    <comment ref="C134" authorId="0">
      <text>
        <r>
          <rPr>
            <b/>
            <sz val="8"/>
            <rFont val="Tahoma"/>
            <family val="0"/>
          </rPr>
          <t>Example: new application function that improves productivity, data sharing.  (Enter as a negative number:</t>
        </r>
        <r>
          <rPr>
            <sz val="8"/>
            <rFont val="Tahoma"/>
            <family val="0"/>
          </rPr>
          <t xml:space="preserve">
Cost = -Savings)</t>
        </r>
      </text>
    </comment>
    <comment ref="C104" authorId="0">
      <text>
        <r>
          <rPr>
            <b/>
            <sz val="8"/>
            <rFont val="Tahoma"/>
            <family val="0"/>
          </rPr>
          <t xml:space="preserve">Newer systems are more reliable.  In this case, assume a 0.025% increase in availability
</t>
        </r>
      </text>
    </comment>
    <comment ref="E98" authorId="0">
      <text>
        <r>
          <rPr>
            <b/>
            <sz val="8"/>
            <rFont val="Tahoma"/>
            <family val="0"/>
          </rPr>
          <t xml:space="preserve">CPU+Rack+Disk+tape+SSA
</t>
        </r>
        <r>
          <rPr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0"/>
          </rPr>
          <t xml:space="preserve">Assume "electricity in" = "heat out"
</t>
        </r>
      </text>
    </comment>
    <comment ref="E66" authorId="0">
      <text>
        <r>
          <rPr>
            <b/>
            <sz val="8"/>
            <rFont val="Tahoma"/>
            <family val="0"/>
          </rPr>
          <t>Bruce Spencer:</t>
        </r>
        <r>
          <rPr>
            <sz val="8"/>
            <rFont val="Tahoma"/>
            <family val="0"/>
          </rPr>
          <t xml:space="preserve">
CPU+7133-500 SSA disk
</t>
        </r>
      </text>
    </comment>
    <comment ref="I66" authorId="0">
      <text>
        <r>
          <rPr>
            <b/>
            <sz val="8"/>
            <rFont val="Tahoma"/>
            <family val="0"/>
          </rPr>
          <t>Bruce Spencer:</t>
        </r>
        <r>
          <rPr>
            <sz val="8"/>
            <rFont val="Tahoma"/>
            <family val="0"/>
          </rPr>
          <t xml:space="preserve">
CPU + 7133-D40 SSA</t>
        </r>
      </text>
    </comment>
    <comment ref="E127" authorId="0">
      <text>
        <r>
          <rPr>
            <b/>
            <sz val="8"/>
            <rFont val="Tahoma"/>
            <family val="0"/>
          </rPr>
          <t xml:space="preserve">R30
7x24 Support:
1st server = 582
add servers =85% discount
</t>
        </r>
      </text>
    </comment>
    <comment ref="I127" authorId="0">
      <text>
        <r>
          <rPr>
            <b/>
            <sz val="8"/>
            <rFont val="Tahoma"/>
            <family val="0"/>
          </rPr>
          <t>H70
7x24 Support
1st server $249
85% discount on add servers</t>
        </r>
        <r>
          <rPr>
            <sz val="8"/>
            <rFont val="Tahoma"/>
            <family val="0"/>
          </rPr>
          <t xml:space="preserve">
</t>
        </r>
      </text>
    </comment>
    <comment ref="I84" authorId="0">
      <text>
        <r>
          <rPr>
            <b/>
            <sz val="8"/>
            <rFont val="Tahoma"/>
            <family val="0"/>
          </rPr>
          <t>Assume administrators of consolidated system can manage fewer systems because these systems have more applications.</t>
        </r>
      </text>
    </comment>
    <comment ref="D85" authorId="0">
      <text>
        <r>
          <rPr>
            <b/>
            <sz val="8"/>
            <rFont val="Tahoma"/>
            <family val="0"/>
          </rPr>
          <t xml:space="preserve">Base salary + benefits ( 28%)
</t>
        </r>
      </text>
    </comment>
    <comment ref="D80" authorId="0">
      <text>
        <r>
          <rPr>
            <b/>
            <sz val="8"/>
            <rFont val="Tahoma"/>
            <family val="0"/>
          </rPr>
          <t xml:space="preserve">Base salary + benefits (28%)
</t>
        </r>
      </text>
    </comment>
  </commentList>
</comments>
</file>

<file path=xl/sharedStrings.xml><?xml version="1.0" encoding="utf-8"?>
<sst xmlns="http://schemas.openxmlformats.org/spreadsheetml/2006/main" count="395" uniqueCount="318">
  <si>
    <t>Hardware</t>
  </si>
  <si>
    <t>Purchase Price</t>
  </si>
  <si>
    <t>Number of Servers</t>
  </si>
  <si>
    <t>Salvage Value</t>
  </si>
  <si>
    <t>Operations</t>
  </si>
  <si>
    <t>Bruce Spencer</t>
  </si>
  <si>
    <t>Site Preparation</t>
  </si>
  <si>
    <t>HVAC</t>
  </si>
  <si>
    <t>Electrical</t>
  </si>
  <si>
    <t>Network</t>
  </si>
  <si>
    <t>Floor Space</t>
  </si>
  <si>
    <t>Annual Cost of Floor Space</t>
  </si>
  <si>
    <t>Annual Electricity Cost</t>
  </si>
  <si>
    <t>Annual HVAC Cost</t>
  </si>
  <si>
    <t>Annual Hours of Operation</t>
  </si>
  <si>
    <t>Annual Operator Costs</t>
  </si>
  <si>
    <t>Annual Operator Salary</t>
  </si>
  <si>
    <t>Annual Sys. Admin Costs</t>
  </si>
  <si>
    <t>Annual Sys Admin Salary</t>
  </si>
  <si>
    <t>Performance/system</t>
  </si>
  <si>
    <t>Annual Hardware Maintenance</t>
  </si>
  <si>
    <t>Reliability, Availability, Serviceability</t>
  </si>
  <si>
    <t>Cost of Downtime per user</t>
  </si>
  <si>
    <t>Current Install Base</t>
  </si>
  <si>
    <t>Software</t>
  </si>
  <si>
    <t>Cost of Downtime</t>
  </si>
  <si>
    <t>Reliability (Uptime)</t>
  </si>
  <si>
    <t>Application Software Costs</t>
  </si>
  <si>
    <t>Annual License Costs</t>
  </si>
  <si>
    <t>Installation Costs</t>
  </si>
  <si>
    <t>Data Migration, Conversion,….</t>
  </si>
  <si>
    <t>Annual Cost</t>
  </si>
  <si>
    <t>Current Installation</t>
  </si>
  <si>
    <t>Total Cost:  Site Prep</t>
  </si>
  <si>
    <t>Total Purchase</t>
  </si>
  <si>
    <t>Purchase New Equipment</t>
  </si>
  <si>
    <t>AIX Supportline</t>
  </si>
  <si>
    <t>AIX Supportline Cost</t>
  </si>
  <si>
    <t>Total Annual SupportLine Cost</t>
  </si>
  <si>
    <t>Total Appl Software Costs</t>
  </si>
  <si>
    <t>Total Installation Costs</t>
  </si>
  <si>
    <t>Total Downtime Costs</t>
  </si>
  <si>
    <t>Functional Improvements</t>
  </si>
  <si>
    <t>Cost of Y2K Compliance on Current Systems</t>
  </si>
  <si>
    <t>Network Costs</t>
  </si>
  <si>
    <t xml:space="preserve">WACC </t>
  </si>
  <si>
    <t>Corporate Tax Rate</t>
  </si>
  <si>
    <t>Weighted Cost of Capital</t>
  </si>
  <si>
    <t>Total Environmental Costs</t>
  </si>
  <si>
    <t>Server Acquisition Costs</t>
  </si>
  <si>
    <t>Total Operations Costs</t>
  </si>
  <si>
    <t>Cost of Ownership</t>
  </si>
  <si>
    <t>Estimated Number of Replacement Servers</t>
  </si>
  <si>
    <t>One Time Cost</t>
  </si>
  <si>
    <t>Assumptions: Server Consolidation Cost of Ownership</t>
  </si>
  <si>
    <t>Accounting Book Value</t>
  </si>
  <si>
    <t>Proposed Consolidation</t>
  </si>
  <si>
    <t>Depreciation Base</t>
  </si>
  <si>
    <t>Tax Deductable Expenses</t>
  </si>
  <si>
    <t>Sales Tax</t>
  </si>
  <si>
    <t>Local Sales Tax</t>
  </si>
  <si>
    <t>Hardware Purchase (less sales tax)</t>
  </si>
  <si>
    <t>Envrionment (Electricity, HVAC)</t>
  </si>
  <si>
    <t>Operations (salaries)</t>
  </si>
  <si>
    <t>Upgrades, New Software</t>
  </si>
  <si>
    <t>Application Support</t>
  </si>
  <si>
    <t>Project Life (Years)</t>
  </si>
  <si>
    <t>MACRs, 5 Year</t>
  </si>
  <si>
    <t>Decpreciation Method:</t>
  </si>
  <si>
    <t>Total Depreciation Base</t>
  </si>
  <si>
    <t>Less Book Value</t>
  </si>
  <si>
    <t>Gain(Loss)</t>
  </si>
  <si>
    <t>Capital Gains on Sale of Existing Equipment</t>
  </si>
  <si>
    <t>Cost of Electricity ($/kw-hr)</t>
  </si>
  <si>
    <t>Conclusions</t>
  </si>
  <si>
    <t>Overview</t>
  </si>
  <si>
    <t>Server Consolidation Spreadsheet</t>
  </si>
  <si>
    <t>Recommendations</t>
  </si>
  <si>
    <t>Server consolidation is not financially justifiable in all circumstances.  The best server consolidation candidates</t>
  </si>
  <si>
    <t>are generally those where five or more servers can be consolidated into one.  The savings in hardware maintenance</t>
  </si>
  <si>
    <t>Hardware maintenance costs</t>
  </si>
  <si>
    <t>The most important cost drivers in server consolidation are:</t>
  </si>
  <si>
    <t>Administrator costs</t>
  </si>
  <si>
    <t>Need to expand building floorspace, HVAC and/or power supply to support server growth</t>
  </si>
  <si>
    <t>Y2K upgrades</t>
  </si>
  <si>
    <t>The use of this spreadsheet is a good first step in the server consolidation analysis.  The next step depends</t>
  </si>
  <si>
    <t>Every computer installation is unique, and this analysis does not address all situations.  You should verify</t>
  </si>
  <si>
    <t>the "ALIGN" methodology.  In addition to financial considerations, the ALIGN methodology includes</t>
  </si>
  <si>
    <t>networking,  application consolidation, data consolidation, workload balancing and others in the analysis.</t>
  </si>
  <si>
    <t>on your situation.  More thorough studies available are from consultants and computer vendors.  IBM uses</t>
  </si>
  <si>
    <t xml:space="preserve">the results of this spreadsheet in the context of your situation. </t>
  </si>
  <si>
    <t>baspence@us.ibm.com</t>
  </si>
  <si>
    <t>Using the Spreadsheet</t>
  </si>
  <si>
    <t>Year</t>
  </si>
  <si>
    <t xml:space="preserve">Total Costs, Before Tax </t>
  </si>
  <si>
    <t>Depreciation</t>
  </si>
  <si>
    <t>MACRS 5Year %</t>
  </si>
  <si>
    <t>Salvage Value (Book Value)</t>
  </si>
  <si>
    <t>Subtotal (Depreciation + Expenses)</t>
  </si>
  <si>
    <t>Total Operator Costs</t>
  </si>
  <si>
    <t>Total Administrator Costs</t>
  </si>
  <si>
    <t>Floor space (Sq. Ft/Server)</t>
  </si>
  <si>
    <t>Charge Rate ($/SqFt-Month)</t>
  </si>
  <si>
    <t>Total Annual Cost of Floor Space</t>
  </si>
  <si>
    <t>Total Annual Cost of Electricity</t>
  </si>
  <si>
    <t>Usage Rate (kw/hr-server)</t>
  </si>
  <si>
    <t>Annual Downtime (Hours)</t>
  </si>
  <si>
    <t>After Tax Costs</t>
  </si>
  <si>
    <t>Total Cost - Tax Savings</t>
  </si>
  <si>
    <t>Tax Savings</t>
  </si>
  <si>
    <t>Cost of Ownership Analysis of Existing Installation</t>
  </si>
  <si>
    <t>Tax Effects</t>
  </si>
  <si>
    <t>Costs</t>
  </si>
  <si>
    <t>Cost of Ownership Analysis After Consolidation</t>
  </si>
  <si>
    <t>Differential Costs (or Cost Savings After Consolidation)</t>
  </si>
  <si>
    <t xml:space="preserve">Differential Tax Effects </t>
  </si>
  <si>
    <t xml:space="preserve">Diferential Savings, Before Tax </t>
  </si>
  <si>
    <t>Differential Savings After Tax</t>
  </si>
  <si>
    <t>Total Number of End Users</t>
  </si>
  <si>
    <t>Less:  Salvage Value of Existing Systems</t>
  </si>
  <si>
    <t xml:space="preserve"> </t>
  </si>
  <si>
    <t>Capital Gains</t>
  </si>
  <si>
    <t>Capital Gains Tax on Sale of Existing Equipment</t>
  </si>
  <si>
    <t>Tax Effect on Gain/Loss</t>
  </si>
  <si>
    <t>Total Cost - Tax Savings + CapGainTax</t>
  </si>
  <si>
    <t>Hardware Maintenance</t>
  </si>
  <si>
    <t>(1 Year Warranty)</t>
  </si>
  <si>
    <t>Internal Rate of Return</t>
  </si>
  <si>
    <t>Net Present Value</t>
  </si>
  <si>
    <t>Assumptions</t>
  </si>
  <si>
    <t>Maximum Servers/Administrator</t>
  </si>
  <si>
    <t>After Tax Financial Results</t>
  </si>
  <si>
    <t>Estimated Number of Replacement Servers Based on Req'd Perf</t>
  </si>
  <si>
    <r>
      <t>H70 sizing</t>
    </r>
    <r>
      <rPr>
        <sz val="10"/>
        <rFont val="Arial"/>
        <family val="0"/>
      </rPr>
      <t xml:space="preserve">:  The 5 to 1 consolidation is based on maintaining the same relative OLTP performance.(TPC-C)  </t>
    </r>
  </si>
  <si>
    <r>
      <t>Pricing</t>
    </r>
    <r>
      <rPr>
        <sz val="10"/>
        <rFont val="Arial"/>
        <family val="0"/>
      </rPr>
      <t>:  All hardware prices are "list."  Hardware discounts will favor consolidation.</t>
    </r>
  </si>
  <si>
    <r>
      <t>Reliability</t>
    </r>
    <r>
      <rPr>
        <sz val="10"/>
        <rFont val="Arial"/>
        <family val="0"/>
      </rPr>
      <t>:  assumed new equipment improves availability from 99.9 to 99.925%</t>
    </r>
  </si>
  <si>
    <r>
      <t>Operation</t>
    </r>
    <r>
      <rPr>
        <sz val="10"/>
        <rFont val="Arial"/>
        <family val="0"/>
      </rPr>
      <t>:   7x24</t>
    </r>
  </si>
  <si>
    <r>
      <t>Tape</t>
    </r>
    <r>
      <rPr>
        <sz val="10"/>
        <rFont val="Arial"/>
        <family val="0"/>
      </rPr>
      <t>: in absense of configuration data, assume reuse existing backup infrastructure.</t>
    </r>
  </si>
  <si>
    <r>
      <t>H70 configuration</t>
    </r>
    <r>
      <rPr>
        <sz val="10"/>
        <rFont val="Arial"/>
        <family val="0"/>
      </rPr>
      <t>: 4 CPUs, 3 GB memory, 18 GB internal disk, 72 GB SSA Disk, 2 10/100 EtNet, 8mm tape, S00 rack, ASCII console</t>
    </r>
  </si>
  <si>
    <t>In a microscopic view, administration costs are a step function.  In the big picture, they are a variable cost.  I chose the "big picture."</t>
  </si>
  <si>
    <r>
      <t>R30 Configuration</t>
    </r>
    <r>
      <rPr>
        <sz val="10"/>
        <rFont val="Arial"/>
        <family val="0"/>
      </rPr>
      <t xml:space="preserve">: includes 2-1GB internal disk, 8mm tape, CD,  7133-500 Disk subsystem </t>
    </r>
  </si>
  <si>
    <t>Monthly Maintenance per Server</t>
  </si>
  <si>
    <r>
      <t xml:space="preserve">Total </t>
    </r>
    <r>
      <rPr>
        <u val="single"/>
        <sz val="10"/>
        <rFont val="Arial"/>
        <family val="2"/>
      </rPr>
      <t>Annual</t>
    </r>
    <r>
      <rPr>
        <sz val="10"/>
        <rFont val="Arial"/>
        <family val="0"/>
      </rPr>
      <t xml:space="preserve"> Maintenance</t>
    </r>
  </si>
  <si>
    <t>Total Annual Cost of Downtime</t>
  </si>
  <si>
    <r>
      <t>Administration costs</t>
    </r>
    <r>
      <rPr>
        <sz val="10"/>
        <rFont val="Arial"/>
        <family val="0"/>
      </rPr>
      <t>:  assume cost of operators and system administrators are directly proportional to the number of systems.</t>
    </r>
  </si>
  <si>
    <t>The assumptions on this page are based on the consolidating 5 R30's into 1 H70.</t>
  </si>
  <si>
    <t>Unit HVAC Cost ($/MillionBTU)</t>
  </si>
  <si>
    <t>Total Annual Cost of HVAC</t>
  </si>
  <si>
    <t>Salvage Value (=Book Value)</t>
  </si>
  <si>
    <t>(income = negative cost)</t>
  </si>
  <si>
    <t>References</t>
  </si>
  <si>
    <r>
      <t xml:space="preserve">RS/6000 Site Planning Guides (Floor space, electricity, HVAC):  </t>
    </r>
    <r>
      <rPr>
        <b/>
        <u val="single"/>
        <sz val="10"/>
        <rFont val="Arial"/>
        <family val="2"/>
      </rPr>
      <t>http://www.rs6000.ibm.com/resources</t>
    </r>
  </si>
  <si>
    <t>Less: Functionality Improvements (savings = negative cost)</t>
  </si>
  <si>
    <t>(savings = negative cost)</t>
  </si>
  <si>
    <t xml:space="preserve">Modify this page appropriate to your situation.  </t>
  </si>
  <si>
    <t>Operations/Administration</t>
  </si>
  <si>
    <t>Environmentals (Elect, HVAC, Floor)</t>
  </si>
  <si>
    <t>There are many intangible or difficult to quantify variables in server consolidation.  Even if your financial analysis is below</t>
  </si>
  <si>
    <t>Here are a few considerations that fall into this category:</t>
  </si>
  <si>
    <t>Y2K avoidance.  Upgrading to current levels may avoid Y2K issues associated with older software.</t>
  </si>
  <si>
    <t xml:space="preserve">Improved utilization of the consolidated server.  Many departmental servers are under utilized.  Combining these </t>
  </si>
  <si>
    <t>workloads on a single server can maximize utilization.  See AIX 4.3.3 workload management announcement 8/99</t>
  </si>
  <si>
    <t>Software licensing:  software licenses are often based on the number of servers.  Reducing the number of servers</t>
  </si>
  <si>
    <t xml:space="preserve">can reduce the annual software licensing fees.  </t>
  </si>
  <si>
    <t>your company's hurdle rate, or ROI, the intangible benefits will often justify the project.</t>
  </si>
  <si>
    <t>Functionality:  hardware and software continually add new functions.  These functions can improve productivity and reduce costs</t>
  </si>
  <si>
    <t>Floor space:  if your data center is near capacity (floor space, HVAC, electricty), the addition of a new server may require</t>
  </si>
  <si>
    <t xml:space="preserve">the purchase of a new building, power/UPS systems or additional cooling systems.  The cost of any one of these </t>
  </si>
  <si>
    <t>system could justify consolidation.</t>
  </si>
  <si>
    <t>Annual cost per server per month</t>
  </si>
  <si>
    <t>Annual SupportLine Costs</t>
  </si>
  <si>
    <t>Hypothetical Example:</t>
  </si>
  <si>
    <t>With the exception of depreciation on the current install base, all cost/savings changes should be made on this page</t>
  </si>
  <si>
    <t>Your analysis should consider all servers platforms, including UNIX, NT, Novel, etc.</t>
  </si>
  <si>
    <t>alone will often pay for the new server.</t>
  </si>
  <si>
    <t>Withdrawel of vendor support</t>
  </si>
  <si>
    <t>Model</t>
  </si>
  <si>
    <t>7009-C10</t>
  </si>
  <si>
    <t>7009-C20</t>
  </si>
  <si>
    <t>7011-25S</t>
  </si>
  <si>
    <t>7011-25T</t>
  </si>
  <si>
    <t>7011-25W</t>
  </si>
  <si>
    <t>7012-32H</t>
  </si>
  <si>
    <t>7012-360</t>
  </si>
  <si>
    <t>7012-370</t>
  </si>
  <si>
    <t>7012-390</t>
  </si>
  <si>
    <t>7012-39H</t>
  </si>
  <si>
    <t>7012-G30</t>
  </si>
  <si>
    <t>7012-G40</t>
  </si>
  <si>
    <t>7013-570</t>
  </si>
  <si>
    <t>7013-580</t>
  </si>
  <si>
    <t>7013-58H</t>
  </si>
  <si>
    <t>7013-590</t>
  </si>
  <si>
    <t>7013-591</t>
  </si>
  <si>
    <t>7013-595</t>
  </si>
  <si>
    <t>7013-59H</t>
  </si>
  <si>
    <t>7013-J30</t>
  </si>
  <si>
    <t>7013-J40</t>
  </si>
  <si>
    <t>7013-J50</t>
  </si>
  <si>
    <t>7015-990</t>
  </si>
  <si>
    <t>7015-99J</t>
  </si>
  <si>
    <t>7015-99K</t>
  </si>
  <si>
    <t>7015-R10</t>
  </si>
  <si>
    <t>7015-R20</t>
  </si>
  <si>
    <t>7015-R21</t>
  </si>
  <si>
    <t>7015-R24</t>
  </si>
  <si>
    <t>7015-R30</t>
  </si>
  <si>
    <t>7015-R3U</t>
  </si>
  <si>
    <t>7015-R40</t>
  </si>
  <si>
    <t>7015-R50</t>
  </si>
  <si>
    <t>7017-S70</t>
  </si>
  <si>
    <t>7017-S7A</t>
  </si>
  <si>
    <t>7024-E20</t>
  </si>
  <si>
    <t>7024-E30</t>
  </si>
  <si>
    <t>7025-F30</t>
  </si>
  <si>
    <t>7025-F40</t>
  </si>
  <si>
    <t>7025-F50</t>
  </si>
  <si>
    <t>7026-H10</t>
  </si>
  <si>
    <t>7026-H50</t>
  </si>
  <si>
    <t>7026-H70</t>
  </si>
  <si>
    <t>7043-140</t>
  </si>
  <si>
    <t>7043-150</t>
  </si>
  <si>
    <t>7043-240</t>
  </si>
  <si>
    <t>7043-260</t>
  </si>
  <si>
    <t>7248-100</t>
  </si>
  <si>
    <t>7248-120</t>
  </si>
  <si>
    <t>7248-132</t>
  </si>
  <si>
    <t>9076-303</t>
  </si>
  <si>
    <t>9076-309</t>
  </si>
  <si>
    <t>9076-500</t>
  </si>
  <si>
    <t>9076-550</t>
  </si>
  <si>
    <t>9076-55H</t>
  </si>
  <si>
    <t>The following table summarizes the relative OLTP performance for most RS/6000 servers.</t>
  </si>
  <si>
    <t>for your system based on number of CPU's, memory and disk.</t>
  </si>
  <si>
    <t xml:space="preserve">R-OLTP </t>
  </si>
  <si>
    <r>
      <t xml:space="preserve">The performance numbers are the </t>
    </r>
    <r>
      <rPr>
        <b/>
        <sz val="10"/>
        <rFont val="Arial"/>
        <family val="2"/>
      </rPr>
      <t>maximum</t>
    </r>
    <r>
      <rPr>
        <sz val="10"/>
        <rFont val="Arial"/>
        <family val="0"/>
      </rPr>
      <t xml:space="preserve"> for the model.  You should scale the numbers</t>
    </r>
  </si>
  <si>
    <t>Historical RS/6000 Performance Data Reference</t>
  </si>
  <si>
    <t>Replacement Servers: Rounded up to Integer Value</t>
  </si>
  <si>
    <t>Total Function Costs</t>
  </si>
  <si>
    <t>@</t>
  </si>
  <si>
    <t>Aggregate Performance of Servers</t>
  </si>
  <si>
    <t>Average Server Utilization</t>
  </si>
  <si>
    <t>Minimum Required Performance of New Server</t>
  </si>
  <si>
    <t>Environmental Costs</t>
  </si>
  <si>
    <t>Financial Information</t>
  </si>
  <si>
    <t>Total  Deductions</t>
  </si>
  <si>
    <t>Annual</t>
  </si>
  <si>
    <t>One Time (Yr 1)</t>
  </si>
  <si>
    <t>One Time Expenses (Sales Tax)</t>
  </si>
  <si>
    <t>Annual Expenses</t>
  </si>
  <si>
    <t>One Time Expense (Sales Tax)</t>
  </si>
  <si>
    <t>Availability:  New hardware and software reliability continue to improve with time. Old hardware reliability declines with age.</t>
  </si>
  <si>
    <t>Availability should be higher with new server hardware and software.</t>
  </si>
  <si>
    <t>Tax Effect of Gain/Loss on Sale of Old Servers</t>
  </si>
  <si>
    <t>Total Hardware Maintenance</t>
  </si>
  <si>
    <t>Hardware Maintenance (1 Yr Warranty on New HW)</t>
  </si>
  <si>
    <t>Annual Costs</t>
  </si>
  <si>
    <t>Target Utilization for New Systems</t>
  </si>
  <si>
    <t>GMAN Finance 314</t>
  </si>
  <si>
    <t>Book Value of New Hardware</t>
  </si>
  <si>
    <t>Environmental (electricity, HVAC, floor space)</t>
  </si>
  <si>
    <t>Differential Costs = "Current Costs" - "Consolidation Costs"</t>
  </si>
  <si>
    <t>Financial Results:  Cost Savings After Consolidation</t>
  </si>
  <si>
    <t>Read Me</t>
  </si>
  <si>
    <t>Maximum Servers/Operator</t>
  </si>
  <si>
    <t xml:space="preserve">Results </t>
  </si>
  <si>
    <t>Incremental Return on Investment (IRR)</t>
  </si>
  <si>
    <t>Initial OTC</t>
  </si>
  <si>
    <t>You should use your numbers in the analysis, as every situation is different.</t>
  </si>
  <si>
    <t>The benefit of this spreadsheet is that it is vendor neutral and "relatively" simple to use.</t>
  </si>
  <si>
    <t>This spreadsheet was created for an advanced finance MBA class project.  It does not necessarily</t>
  </si>
  <si>
    <t>reflect the view of my employer.</t>
  </si>
  <si>
    <t>The spreadsheet a starting point for the server consolidation, and not an end point.</t>
  </si>
  <si>
    <t>Also be aware that this spreadsheet involves only financial considerations.  The decision to consolidate servers</t>
  </si>
  <si>
    <t>should also include an analysis of business needs, political realities, and technical feasibility.</t>
  </si>
  <si>
    <t>The purpose of this spreadsheet is to estimate cost savings through consolidating the number of computer servers.</t>
  </si>
  <si>
    <t>As each situation is different, you should modify the cost assumptions to be relevant for your installation.</t>
  </si>
  <si>
    <t>The hypothetical example, while accurate, probably does not reflect your installation.</t>
  </si>
  <si>
    <t xml:space="preserve">You should insert your numbers on the Assumptions page. This data on this page "feeds" the rest of the </t>
  </si>
  <si>
    <t>spreadsheet. For most cases, you do not have to modify any other pages.  The one exception would be</t>
  </si>
  <si>
    <t>depreciation of existing equipment.  You'll have to enter that on the Current Costs page.</t>
  </si>
  <si>
    <t>The spreadsheet outputs two financial criteria:  IRR and present value.  They are calculated at the bottom of the</t>
  </si>
  <si>
    <t>Results page, and "linked" (copied) at the bottom of the Assumptions page.</t>
  </si>
  <si>
    <t>In the example, I've assumed IBM RS/6000 servers only because I had access to this pricing information.</t>
  </si>
  <si>
    <t>The are many other important factors that are difficult to quantify.</t>
  </si>
  <si>
    <t>High Availability</t>
  </si>
  <si>
    <t>Benefits of data consolidation</t>
  </si>
  <si>
    <t xml:space="preserve">Benefits of consolidation on backup/restore.  </t>
  </si>
  <si>
    <t xml:space="preserve">The savings from server consolidation can be high.  In the hypothetical example, the payback on the </t>
  </si>
  <si>
    <t>server consolidation investment way about 1.5 years, with a Return on Investment of about 50%.</t>
  </si>
  <si>
    <t>This result was calculated with many of the fields empty (ie savings by reducing software licenses).</t>
  </si>
  <si>
    <t>And if intangible benefits are added in, the return can be extremely high.</t>
  </si>
  <si>
    <t>Numerous web sites:  search on "cost of ownership ROI computer"</t>
  </si>
  <si>
    <t>Indirect Costs</t>
  </si>
  <si>
    <t>Management</t>
  </si>
  <si>
    <t>Administrators</t>
  </si>
  <si>
    <t>Direct Costs</t>
  </si>
  <si>
    <t>Function Costs (Quality Improvements)</t>
  </si>
  <si>
    <t>Risk Adjusted ROI Hurdle Rate</t>
  </si>
  <si>
    <r>
      <t xml:space="preserve">From </t>
    </r>
    <r>
      <rPr>
        <b/>
        <sz val="10"/>
        <rFont val="Arial"/>
        <family val="2"/>
      </rPr>
      <t>Results</t>
    </r>
    <r>
      <rPr>
        <sz val="10"/>
        <rFont val="Arial"/>
        <family val="0"/>
      </rPr>
      <t xml:space="preserve"> page:</t>
    </r>
  </si>
  <si>
    <t>Sensitivity Analysis</t>
  </si>
  <si>
    <t>Effect of Purchase Price on ROI</t>
  </si>
  <si>
    <t>Price</t>
  </si>
  <si>
    <t>ROI</t>
  </si>
  <si>
    <t>Salary</t>
  </si>
  <si>
    <t>Effect of Sys Admin Salary + Benefits</t>
  </si>
  <si>
    <t>Effect of Software Install/Migrate Costs</t>
  </si>
  <si>
    <t>Assumed</t>
  </si>
  <si>
    <t>SW Install</t>
  </si>
  <si>
    <t>One Time Expenses (Sales Tax, Install,..,)</t>
  </si>
  <si>
    <t>Software Installation/Migration</t>
  </si>
  <si>
    <t>Effect of Function Costs (or Quality Improvements)</t>
  </si>
  <si>
    <t>Ann Savings</t>
  </si>
  <si>
    <t>Note:  Copy of Results and Sensitivity Analysis are located at the bottom of this page</t>
  </si>
  <si>
    <t>ROI and PV results are at the bottom of this page</t>
  </si>
  <si>
    <t>Note:  see sensitivity analysis at the bottom of the Assumptions page.</t>
  </si>
  <si>
    <t>Bottom Line:  Financial Results</t>
  </si>
  <si>
    <t>Discount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</si>
</sst>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0.0000000000"/>
    <numFmt numFmtId="182" formatCode="0.000%"/>
    <numFmt numFmtId="183" formatCode="0.0000000000%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u val="singleAccounting"/>
      <sz val="1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44" fontId="0" fillId="0" borderId="0" xfId="17" applyAlignment="1">
      <alignment/>
    </xf>
    <xf numFmtId="44" fontId="5" fillId="2" borderId="0" xfId="17" applyFont="1" applyFill="1" applyAlignment="1">
      <alignment/>
    </xf>
    <xf numFmtId="165" fontId="0" fillId="0" borderId="0" xfId="17" applyNumberFormat="1" applyAlignment="1">
      <alignment/>
    </xf>
    <xf numFmtId="165" fontId="5" fillId="2" borderId="0" xfId="17" applyNumberFormat="1" applyFont="1" applyFill="1" applyAlignment="1">
      <alignment/>
    </xf>
    <xf numFmtId="167" fontId="0" fillId="0" borderId="0" xfId="15" applyNumberFormat="1" applyAlignment="1">
      <alignment/>
    </xf>
    <xf numFmtId="168" fontId="0" fillId="0" borderId="0" xfId="15" applyNumberFormat="1" applyAlignment="1">
      <alignment/>
    </xf>
    <xf numFmtId="165" fontId="1" fillId="0" borderId="0" xfId="17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17" applyFont="1" applyBorder="1" applyAlignment="1">
      <alignment/>
    </xf>
    <xf numFmtId="44" fontId="7" fillId="2" borderId="0" xfId="17" applyFont="1" applyFill="1" applyAlignment="1">
      <alignment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44" fontId="0" fillId="0" borderId="1" xfId="17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9" fontId="0" fillId="0" borderId="0" xfId="17" applyNumberFormat="1" applyAlignment="1">
      <alignment/>
    </xf>
    <xf numFmtId="44" fontId="1" fillId="0" borderId="0" xfId="17" applyFont="1" applyBorder="1" applyAlignment="1">
      <alignment horizontal="centerContinuous"/>
    </xf>
    <xf numFmtId="165" fontId="0" fillId="0" borderId="1" xfId="17" applyNumberFormat="1" applyFont="1" applyBorder="1" applyAlignment="1">
      <alignment/>
    </xf>
    <xf numFmtId="165" fontId="0" fillId="0" borderId="2" xfId="17" applyNumberForma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65" fontId="0" fillId="0" borderId="0" xfId="0" applyNumberFormat="1" applyBorder="1" applyAlignment="1">
      <alignment/>
    </xf>
    <xf numFmtId="15" fontId="1" fillId="0" borderId="0" xfId="0" applyNumberFormat="1" applyFont="1" applyAlignment="1">
      <alignment/>
    </xf>
    <xf numFmtId="44" fontId="0" fillId="0" borderId="2" xfId="17" applyBorder="1" applyAlignment="1">
      <alignment/>
    </xf>
    <xf numFmtId="165" fontId="0" fillId="0" borderId="4" xfId="17" applyNumberFormat="1" applyBorder="1" applyAlignment="1">
      <alignment/>
    </xf>
    <xf numFmtId="9" fontId="0" fillId="0" borderId="2" xfId="19" applyBorder="1" applyAlignment="1">
      <alignment/>
    </xf>
    <xf numFmtId="43" fontId="4" fillId="2" borderId="0" xfId="15" applyFont="1" applyFill="1" applyAlignment="1">
      <alignment horizontal="center"/>
    </xf>
    <xf numFmtId="168" fontId="4" fillId="2" borderId="0" xfId="15" applyNumberFormat="1" applyFont="1" applyFill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1" fillId="0" borderId="5" xfId="17" applyNumberFormat="1" applyFont="1" applyBorder="1" applyAlignment="1">
      <alignment/>
    </xf>
    <xf numFmtId="168" fontId="0" fillId="0" borderId="0" xfId="17" applyNumberFormat="1" applyBorder="1" applyAlignment="1">
      <alignment/>
    </xf>
    <xf numFmtId="168" fontId="0" fillId="0" borderId="0" xfId="17" applyNumberFormat="1" applyAlignment="1">
      <alignment/>
    </xf>
    <xf numFmtId="166" fontId="0" fillId="0" borderId="2" xfId="19" applyNumberFormat="1" applyBorder="1" applyAlignment="1">
      <alignment/>
    </xf>
    <xf numFmtId="0" fontId="1" fillId="0" borderId="0" xfId="0" applyFont="1" applyBorder="1" applyAlignment="1">
      <alignment horizontal="left"/>
    </xf>
    <xf numFmtId="165" fontId="0" fillId="0" borderId="5" xfId="17" applyNumberFormat="1" applyBorder="1" applyAlignment="1">
      <alignment/>
    </xf>
    <xf numFmtId="0" fontId="10" fillId="0" borderId="6" xfId="0" applyFont="1" applyBorder="1" applyAlignment="1">
      <alignment horizontal="centerContinuous"/>
    </xf>
    <xf numFmtId="165" fontId="1" fillId="0" borderId="7" xfId="17" applyNumberFormat="1" applyFont="1" applyBorder="1" applyAlignment="1">
      <alignment horizontal="centerContinuous"/>
    </xf>
    <xf numFmtId="165" fontId="1" fillId="0" borderId="8" xfId="17" applyNumberFormat="1" applyFont="1" applyBorder="1" applyAlignment="1">
      <alignment horizontal="centerContinuous"/>
    </xf>
    <xf numFmtId="0" fontId="1" fillId="0" borderId="9" xfId="0" applyFont="1" applyBorder="1" applyAlignment="1">
      <alignment/>
    </xf>
    <xf numFmtId="165" fontId="1" fillId="0" borderId="10" xfId="17" applyNumberFormat="1" applyFont="1" applyBorder="1" applyAlignment="1">
      <alignment/>
    </xf>
    <xf numFmtId="0" fontId="5" fillId="2" borderId="9" xfId="0" applyFont="1" applyFill="1" applyBorder="1" applyAlignment="1">
      <alignment/>
    </xf>
    <xf numFmtId="165" fontId="5" fillId="2" borderId="0" xfId="17" applyNumberFormat="1" applyFont="1" applyFill="1" applyBorder="1" applyAlignment="1">
      <alignment/>
    </xf>
    <xf numFmtId="165" fontId="5" fillId="2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165" fontId="0" fillId="0" borderId="10" xfId="17" applyNumberFormat="1" applyBorder="1" applyAlignment="1">
      <alignment/>
    </xf>
    <xf numFmtId="168" fontId="0" fillId="0" borderId="0" xfId="15" applyNumberFormat="1" applyBorder="1" applyAlignment="1">
      <alignment/>
    </xf>
    <xf numFmtId="6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9" fontId="0" fillId="0" borderId="9" xfId="0" applyNumberFormat="1" applyBorder="1" applyAlignment="1">
      <alignment/>
    </xf>
    <xf numFmtId="9" fontId="0" fillId="0" borderId="0" xfId="19" applyNumberFormat="1" applyBorder="1" applyAlignment="1">
      <alignment/>
    </xf>
    <xf numFmtId="43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165" fontId="0" fillId="0" borderId="0" xfId="17" applyNumberFormat="1" applyFont="1" applyBorder="1" applyAlignment="1">
      <alignment/>
    </xf>
    <xf numFmtId="165" fontId="0" fillId="0" borderId="10" xfId="17" applyNumberFormat="1" applyFont="1" applyBorder="1" applyAlignment="1">
      <alignment/>
    </xf>
    <xf numFmtId="179" fontId="0" fillId="0" borderId="9" xfId="0" applyNumberFormat="1" applyBorder="1" applyAlignment="1">
      <alignment/>
    </xf>
    <xf numFmtId="6" fontId="0" fillId="0" borderId="9" xfId="0" applyNumberFormat="1" applyBorder="1" applyAlignment="1" quotePrefix="1">
      <alignment/>
    </xf>
    <xf numFmtId="8" fontId="0" fillId="0" borderId="9" xfId="0" applyNumberFormat="1" applyBorder="1" applyAlignment="1">
      <alignment/>
    </xf>
    <xf numFmtId="182" fontId="0" fillId="0" borderId="9" xfId="0" applyNumberFormat="1" applyBorder="1" applyAlignment="1">
      <alignment/>
    </xf>
    <xf numFmtId="10" fontId="0" fillId="0" borderId="0" xfId="19" applyNumberFormat="1" applyBorder="1" applyAlignment="1">
      <alignment/>
    </xf>
    <xf numFmtId="43" fontId="0" fillId="0" borderId="9" xfId="15" applyBorder="1" applyAlignment="1">
      <alignment/>
    </xf>
    <xf numFmtId="0" fontId="7" fillId="2" borderId="9" xfId="0" applyFont="1" applyFill="1" applyBorder="1" applyAlignment="1">
      <alignment/>
    </xf>
    <xf numFmtId="165" fontId="7" fillId="2" borderId="0" xfId="17" applyNumberFormat="1" applyFont="1" applyFill="1" applyBorder="1" applyAlignment="1">
      <alignment/>
    </xf>
    <xf numFmtId="165" fontId="7" fillId="2" borderId="10" xfId="17" applyNumberFormat="1" applyFont="1" applyFill="1" applyBorder="1" applyAlignment="1">
      <alignment/>
    </xf>
    <xf numFmtId="165" fontId="0" fillId="0" borderId="4" xfId="17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2" xfId="17" applyNumberFormat="1" applyBorder="1" applyAlignment="1">
      <alignment/>
    </xf>
    <xf numFmtId="43" fontId="10" fillId="0" borderId="6" xfId="15" applyFont="1" applyBorder="1" applyAlignment="1">
      <alignment horizontal="centerContinuous"/>
    </xf>
    <xf numFmtId="43" fontId="1" fillId="0" borderId="9" xfId="15" applyFont="1" applyBorder="1" applyAlignment="1">
      <alignment/>
    </xf>
    <xf numFmtId="43" fontId="5" fillId="2" borderId="9" xfId="15" applyFont="1" applyFill="1" applyBorder="1" applyAlignment="1">
      <alignment/>
    </xf>
    <xf numFmtId="165" fontId="0" fillId="2" borderId="0" xfId="17" applyNumberFormat="1" applyFill="1" applyBorder="1" applyAlignment="1">
      <alignment/>
    </xf>
    <xf numFmtId="165" fontId="0" fillId="2" borderId="10" xfId="17" applyNumberFormat="1" applyFill="1" applyBorder="1" applyAlignment="1">
      <alignment/>
    </xf>
    <xf numFmtId="9" fontId="0" fillId="0" borderId="9" xfId="15" applyNumberFormat="1" applyBorder="1" applyAlignment="1">
      <alignment/>
    </xf>
    <xf numFmtId="43" fontId="0" fillId="0" borderId="3" xfId="15" applyBorder="1" applyAlignment="1">
      <alignment/>
    </xf>
    <xf numFmtId="6" fontId="0" fillId="0" borderId="9" xfId="15" applyNumberFormat="1" applyBorder="1" applyAlignment="1">
      <alignment/>
    </xf>
    <xf numFmtId="8" fontId="0" fillId="0" borderId="9" xfId="15" applyNumberFormat="1" applyBorder="1" applyAlignment="1">
      <alignment/>
    </xf>
    <xf numFmtId="182" fontId="0" fillId="0" borderId="9" xfId="15" applyNumberFormat="1" applyBorder="1" applyAlignment="1">
      <alignment/>
    </xf>
    <xf numFmtId="168" fontId="0" fillId="0" borderId="9" xfId="15" applyNumberFormat="1" applyBorder="1" applyAlignment="1">
      <alignment/>
    </xf>
    <xf numFmtId="43" fontId="7" fillId="2" borderId="9" xfId="15" applyFont="1" applyFill="1" applyBorder="1" applyAlignment="1">
      <alignment/>
    </xf>
    <xf numFmtId="43" fontId="0" fillId="0" borderId="11" xfId="15" applyBorder="1" applyAlignment="1">
      <alignment/>
    </xf>
    <xf numFmtId="168" fontId="4" fillId="2" borderId="0" xfId="15" applyNumberFormat="1" applyFont="1" applyFill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6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12" xfId="0" applyBorder="1" applyAlignment="1">
      <alignment/>
    </xf>
    <xf numFmtId="44" fontId="0" fillId="0" borderId="9" xfId="17" applyBorder="1" applyAlignment="1">
      <alignment/>
    </xf>
    <xf numFmtId="43" fontId="0" fillId="0" borderId="0" xfId="15" applyBorder="1" applyAlignment="1">
      <alignment/>
    </xf>
    <xf numFmtId="0" fontId="6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65" fontId="5" fillId="2" borderId="7" xfId="17" applyNumberFormat="1" applyFont="1" applyFill="1" applyBorder="1" applyAlignment="1">
      <alignment/>
    </xf>
    <xf numFmtId="44" fontId="5" fillId="2" borderId="7" xfId="17" applyFont="1" applyFill="1" applyBorder="1" applyAlignment="1">
      <alignment/>
    </xf>
    <xf numFmtId="43" fontId="5" fillId="2" borderId="7" xfId="15" applyFont="1" applyFill="1" applyBorder="1" applyAlignment="1">
      <alignment/>
    </xf>
    <xf numFmtId="165" fontId="0" fillId="2" borderId="7" xfId="17" applyNumberFormat="1" applyFill="1" applyBorder="1" applyAlignment="1">
      <alignment/>
    </xf>
    <xf numFmtId="165" fontId="0" fillId="2" borderId="8" xfId="17" applyNumberFormat="1" applyFill="1" applyBorder="1" applyAlignment="1">
      <alignment/>
    </xf>
    <xf numFmtId="9" fontId="0" fillId="0" borderId="0" xfId="0" applyNumberFormat="1" applyBorder="1" applyAlignment="1">
      <alignment/>
    </xf>
    <xf numFmtId="43" fontId="0" fillId="0" borderId="2" xfId="15" applyBorder="1" applyAlignment="1">
      <alignment/>
    </xf>
    <xf numFmtId="14" fontId="1" fillId="0" borderId="0" xfId="0" applyNumberFormat="1" applyFont="1" applyAlignment="1">
      <alignment/>
    </xf>
    <xf numFmtId="165" fontId="0" fillId="0" borderId="9" xfId="17" applyNumberFormat="1" applyBorder="1" applyAlignment="1">
      <alignment/>
    </xf>
    <xf numFmtId="15" fontId="12" fillId="0" borderId="0" xfId="0" applyNumberFormat="1" applyFont="1" applyAlignment="1">
      <alignment/>
    </xf>
    <xf numFmtId="168" fontId="0" fillId="0" borderId="9" xfId="15" applyNumberFormat="1" applyFont="1" applyBorder="1" applyAlignment="1">
      <alignment/>
    </xf>
    <xf numFmtId="0" fontId="10" fillId="0" borderId="0" xfId="0" applyFont="1" applyAlignment="1">
      <alignment/>
    </xf>
    <xf numFmtId="9" fontId="0" fillId="0" borderId="0" xfId="19" applyBorder="1" applyAlignment="1">
      <alignment/>
    </xf>
    <xf numFmtId="0" fontId="13" fillId="0" borderId="0" xfId="0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165" fontId="13" fillId="0" borderId="0" xfId="17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0" fontId="14" fillId="0" borderId="3" xfId="0" applyFont="1" applyBorder="1" applyAlignment="1">
      <alignment/>
    </xf>
    <xf numFmtId="165" fontId="15" fillId="0" borderId="0" xfId="17" applyNumberFormat="1" applyFont="1" applyBorder="1" applyAlignment="1">
      <alignment/>
    </xf>
    <xf numFmtId="165" fontId="11" fillId="0" borderId="0" xfId="17" applyNumberFormat="1" applyFont="1" applyBorder="1" applyAlignment="1">
      <alignment horizontal="right"/>
    </xf>
    <xf numFmtId="165" fontId="11" fillId="0" borderId="10" xfId="17" applyNumberFormat="1" applyFont="1" applyBorder="1" applyAlignment="1">
      <alignment horizontal="right"/>
    </xf>
    <xf numFmtId="165" fontId="15" fillId="0" borderId="0" xfId="17" applyNumberFormat="1" applyFont="1" applyBorder="1" applyAlignment="1">
      <alignment horizontal="right"/>
    </xf>
    <xf numFmtId="165" fontId="0" fillId="0" borderId="13" xfId="17" applyNumberFormat="1" applyBorder="1" applyAlignment="1">
      <alignment/>
    </xf>
    <xf numFmtId="0" fontId="0" fillId="2" borderId="0" xfId="0" applyFill="1" applyAlignment="1">
      <alignment/>
    </xf>
    <xf numFmtId="44" fontId="15" fillId="0" borderId="0" xfId="17" applyFont="1" applyBorder="1" applyAlignment="1">
      <alignment/>
    </xf>
    <xf numFmtId="43" fontId="15" fillId="0" borderId="0" xfId="15" applyFont="1" applyBorder="1" applyAlignment="1">
      <alignment/>
    </xf>
    <xf numFmtId="165" fontId="15" fillId="0" borderId="10" xfId="17" applyNumberFormat="1" applyFont="1" applyBorder="1" applyAlignment="1">
      <alignment/>
    </xf>
    <xf numFmtId="43" fontId="16" fillId="2" borderId="0" xfId="15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65" fontId="5" fillId="2" borderId="0" xfId="17" applyNumberFormat="1" applyFont="1" applyFill="1" applyAlignment="1">
      <alignment horizontal="centerContinuous"/>
    </xf>
    <xf numFmtId="44" fontId="5" fillId="2" borderId="0" xfId="17" applyFont="1" applyFill="1" applyAlignment="1">
      <alignment horizontal="centerContinuous"/>
    </xf>
    <xf numFmtId="43" fontId="5" fillId="2" borderId="0" xfId="15" applyFont="1" applyFill="1" applyAlignment="1">
      <alignment horizontal="centerContinuous"/>
    </xf>
    <xf numFmtId="9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165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17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5" fontId="0" fillId="3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workbookViewId="0" topLeftCell="A1">
      <selection activeCell="C80" sqref="C80"/>
    </sheetView>
  </sheetViews>
  <sheetFormatPr defaultColWidth="9.140625" defaultRowHeight="12.75"/>
  <cols>
    <col min="1" max="1" width="15.00390625" style="0" customWidth="1"/>
  </cols>
  <sheetData>
    <row r="1" spans="1:9" ht="15.75">
      <c r="A1" s="5" t="s">
        <v>263</v>
      </c>
      <c r="B1" s="5"/>
      <c r="C1" s="5"/>
      <c r="D1" s="5"/>
      <c r="E1" s="5"/>
      <c r="F1" s="5"/>
      <c r="G1" s="5"/>
      <c r="H1" s="5"/>
      <c r="I1" s="5"/>
    </row>
    <row r="2" ht="18">
      <c r="A2" s="27" t="s">
        <v>76</v>
      </c>
    </row>
    <row r="3" ht="18">
      <c r="A3" s="27"/>
    </row>
    <row r="4" ht="12.75">
      <c r="A4" s="121">
        <v>36375</v>
      </c>
    </row>
    <row r="5" ht="12.75">
      <c r="A5" s="2" t="s">
        <v>75</v>
      </c>
    </row>
    <row r="7" ht="12.75">
      <c r="A7" t="s">
        <v>275</v>
      </c>
    </row>
    <row r="8" ht="12.75">
      <c r="A8" t="s">
        <v>269</v>
      </c>
    </row>
    <row r="9" ht="12.75">
      <c r="A9" t="s">
        <v>270</v>
      </c>
    </row>
    <row r="10" ht="12.75">
      <c r="A10" t="s">
        <v>271</v>
      </c>
    </row>
    <row r="12" ht="12.75">
      <c r="A12" t="s">
        <v>272</v>
      </c>
    </row>
    <row r="13" ht="12.75">
      <c r="A13" t="s">
        <v>268</v>
      </c>
    </row>
    <row r="14" ht="12.75">
      <c r="A14" t="s">
        <v>273</v>
      </c>
    </row>
    <row r="15" ht="12.75">
      <c r="A15" t="s">
        <v>274</v>
      </c>
    </row>
    <row r="18" ht="12.75">
      <c r="A18" s="2" t="s">
        <v>92</v>
      </c>
    </row>
    <row r="20" ht="12.75">
      <c r="A20" t="s">
        <v>276</v>
      </c>
    </row>
    <row r="21" ht="12.75">
      <c r="A21" t="s">
        <v>277</v>
      </c>
    </row>
    <row r="22" ht="12.75">
      <c r="A22" t="s">
        <v>278</v>
      </c>
    </row>
    <row r="23" ht="12.75">
      <c r="A23" t="s">
        <v>279</v>
      </c>
    </row>
    <row r="24" ht="12.75">
      <c r="A24" t="s">
        <v>280</v>
      </c>
    </row>
    <row r="26" ht="12.75">
      <c r="A26" t="s">
        <v>281</v>
      </c>
    </row>
    <row r="27" ht="12.75">
      <c r="A27" t="s">
        <v>282</v>
      </c>
    </row>
    <row r="29" ht="12.75">
      <c r="A29" t="s">
        <v>283</v>
      </c>
    </row>
    <row r="30" ht="12.75">
      <c r="A30" t="s">
        <v>173</v>
      </c>
    </row>
    <row r="33" ht="12.75">
      <c r="A33" s="2" t="s">
        <v>74</v>
      </c>
    </row>
    <row r="35" ht="12.75">
      <c r="A35" t="s">
        <v>78</v>
      </c>
    </row>
    <row r="36" ht="12.75">
      <c r="A36" t="s">
        <v>79</v>
      </c>
    </row>
    <row r="37" ht="12.75">
      <c r="A37" t="s">
        <v>174</v>
      </c>
    </row>
    <row r="39" ht="12.75">
      <c r="A39" t="s">
        <v>81</v>
      </c>
    </row>
    <row r="41" ht="12.75">
      <c r="B41" t="s">
        <v>82</v>
      </c>
    </row>
    <row r="42" ht="12.75">
      <c r="B42" t="s">
        <v>80</v>
      </c>
    </row>
    <row r="43" ht="12.75">
      <c r="B43" t="s">
        <v>260</v>
      </c>
    </row>
    <row r="45" ht="12.75">
      <c r="A45" t="s">
        <v>284</v>
      </c>
    </row>
    <row r="47" ht="12.75">
      <c r="B47" t="s">
        <v>83</v>
      </c>
    </row>
    <row r="48" ht="12.75">
      <c r="B48" t="s">
        <v>84</v>
      </c>
    </row>
    <row r="49" ht="12.75">
      <c r="B49" t="s">
        <v>175</v>
      </c>
    </row>
    <row r="50" ht="12.75">
      <c r="B50" t="s">
        <v>285</v>
      </c>
    </row>
    <row r="51" ht="12.75">
      <c r="B51" t="s">
        <v>286</v>
      </c>
    </row>
    <row r="52" ht="12.75">
      <c r="B52" t="s">
        <v>287</v>
      </c>
    </row>
    <row r="54" ht="12.75">
      <c r="A54" t="s">
        <v>288</v>
      </c>
    </row>
    <row r="55" ht="12.75">
      <c r="A55" t="s">
        <v>289</v>
      </c>
    </row>
    <row r="56" ht="12.75">
      <c r="A56" t="s">
        <v>290</v>
      </c>
    </row>
    <row r="57" ht="12.75">
      <c r="A57" t="s">
        <v>291</v>
      </c>
    </row>
    <row r="59" ht="12.75">
      <c r="A59" t="s">
        <v>86</v>
      </c>
    </row>
    <row r="60" ht="12.75">
      <c r="A60" t="s">
        <v>90</v>
      </c>
    </row>
    <row r="63" ht="12.75">
      <c r="A63" s="2" t="s">
        <v>77</v>
      </c>
    </row>
    <row r="65" ht="12.75">
      <c r="A65" t="s">
        <v>85</v>
      </c>
    </row>
    <row r="66" ht="12.75">
      <c r="A66" t="s">
        <v>89</v>
      </c>
    </row>
    <row r="67" ht="12.75">
      <c r="A67" t="s">
        <v>87</v>
      </c>
    </row>
    <row r="68" ht="12.75">
      <c r="A68" t="s">
        <v>88</v>
      </c>
    </row>
    <row r="72" ht="12.75">
      <c r="A72" t="s">
        <v>5</v>
      </c>
    </row>
    <row r="73" ht="12.75">
      <c r="A73" s="28">
        <v>36373</v>
      </c>
    </row>
    <row r="74" ht="12.75">
      <c r="A74" t="s">
        <v>91</v>
      </c>
    </row>
    <row r="77" ht="12.75">
      <c r="A77" s="2" t="s">
        <v>150</v>
      </c>
    </row>
    <row r="78" ht="12.75">
      <c r="B78" t="s">
        <v>151</v>
      </c>
    </row>
    <row r="79" ht="12.75">
      <c r="B79" t="s">
        <v>292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showGridLines="0" tabSelected="1" workbookViewId="0" topLeftCell="A1">
      <selection activeCell="G173" sqref="G173"/>
    </sheetView>
  </sheetViews>
  <sheetFormatPr defaultColWidth="9.140625" defaultRowHeight="12.75"/>
  <cols>
    <col min="1" max="1" width="3.57421875" style="0" customWidth="1"/>
    <col min="2" max="2" width="3.421875" style="2" customWidth="1"/>
    <col min="3" max="3" width="4.00390625" style="0" customWidth="1"/>
    <col min="4" max="4" width="40.00390625" style="0" customWidth="1"/>
    <col min="5" max="5" width="14.28125" style="0" bestFit="1" customWidth="1"/>
    <col min="6" max="6" width="15.00390625" style="8" customWidth="1"/>
    <col min="7" max="7" width="13.00390625" style="8" bestFit="1" customWidth="1"/>
    <col min="8" max="8" width="2.7109375" style="6" customWidth="1"/>
    <col min="9" max="9" width="13.421875" style="1" bestFit="1" customWidth="1"/>
    <col min="10" max="10" width="15.421875" style="8" bestFit="1" customWidth="1"/>
    <col min="11" max="11" width="13.00390625" style="8" bestFit="1" customWidth="1"/>
  </cols>
  <sheetData>
    <row r="1" spans="1:11" ht="18">
      <c r="A1" s="141" t="s">
        <v>54</v>
      </c>
      <c r="B1" s="142"/>
      <c r="C1" s="143"/>
      <c r="D1" s="143"/>
      <c r="E1" s="143"/>
      <c r="F1" s="144"/>
      <c r="G1" s="144"/>
      <c r="H1" s="145"/>
      <c r="I1" s="146"/>
      <c r="J1" s="144"/>
      <c r="K1" s="144"/>
    </row>
    <row r="2" ht="12.75"/>
    <row r="3" ht="12.75">
      <c r="A3" t="s">
        <v>5</v>
      </c>
    </row>
    <row r="4" spans="1:4" ht="12.75">
      <c r="A4" t="s">
        <v>258</v>
      </c>
      <c r="D4" s="3">
        <v>36179</v>
      </c>
    </row>
    <row r="5" ht="12.75">
      <c r="D5" s="3"/>
    </row>
    <row r="6" ht="12.75">
      <c r="D6" s="123" t="s">
        <v>171</v>
      </c>
    </row>
    <row r="7" ht="12.75">
      <c r="D7" s="3" t="s">
        <v>145</v>
      </c>
    </row>
    <row r="8" ht="12.75">
      <c r="D8" s="32" t="s">
        <v>140</v>
      </c>
    </row>
    <row r="9" ht="12.75">
      <c r="D9" s="32" t="s">
        <v>138</v>
      </c>
    </row>
    <row r="10" ht="12.75">
      <c r="D10" s="32" t="s">
        <v>137</v>
      </c>
    </row>
    <row r="11" ht="12.75">
      <c r="D11" s="32" t="s">
        <v>133</v>
      </c>
    </row>
    <row r="12" ht="12.75">
      <c r="D12" s="2" t="s">
        <v>134</v>
      </c>
    </row>
    <row r="13" ht="12.75">
      <c r="D13" s="2" t="s">
        <v>135</v>
      </c>
    </row>
    <row r="14" ht="12.75">
      <c r="D14" s="2" t="s">
        <v>136</v>
      </c>
    </row>
    <row r="15" ht="12.75">
      <c r="D15" s="2" t="s">
        <v>144</v>
      </c>
    </row>
    <row r="16" ht="12.75">
      <c r="D16" t="s">
        <v>139</v>
      </c>
    </row>
    <row r="17" ht="12.75"/>
    <row r="18" ht="12.75">
      <c r="D18" t="s">
        <v>154</v>
      </c>
    </row>
    <row r="19" ht="12.75">
      <c r="D19" t="s">
        <v>172</v>
      </c>
    </row>
    <row r="20" ht="12.75"/>
    <row r="21" spans="2:7" ht="12.75">
      <c r="B21" s="2" t="s">
        <v>120</v>
      </c>
      <c r="D21" s="155" t="s">
        <v>313</v>
      </c>
      <c r="E21" s="156"/>
      <c r="F21" s="157"/>
      <c r="G21" s="157"/>
    </row>
    <row r="22" ht="12.75"/>
    <row r="23" spans="1:11" s="2" customFormat="1" ht="15.75">
      <c r="A23" s="94"/>
      <c r="B23" s="95"/>
      <c r="C23" s="95"/>
      <c r="D23" s="96"/>
      <c r="E23" s="49" t="s">
        <v>32</v>
      </c>
      <c r="F23" s="50"/>
      <c r="G23" s="51"/>
      <c r="H23" s="23"/>
      <c r="I23" s="80" t="s">
        <v>56</v>
      </c>
      <c r="J23" s="50"/>
      <c r="K23" s="51"/>
    </row>
    <row r="24" spans="1:11" s="2" customFormat="1" ht="12.75">
      <c r="A24" s="52"/>
      <c r="B24" s="13"/>
      <c r="C24" s="13"/>
      <c r="D24" s="97"/>
      <c r="E24" s="52" t="s">
        <v>129</v>
      </c>
      <c r="F24" s="12" t="s">
        <v>53</v>
      </c>
      <c r="G24" s="53" t="s">
        <v>31</v>
      </c>
      <c r="H24" s="14"/>
      <c r="I24" s="81" t="s">
        <v>129</v>
      </c>
      <c r="J24" s="12" t="s">
        <v>53</v>
      </c>
      <c r="K24" s="53" t="s">
        <v>31</v>
      </c>
    </row>
    <row r="25" spans="1:11" ht="15.75">
      <c r="A25" s="98" t="s">
        <v>0</v>
      </c>
      <c r="B25" s="99"/>
      <c r="C25" s="100"/>
      <c r="D25" s="101"/>
      <c r="E25" s="54"/>
      <c r="F25" s="55"/>
      <c r="G25" s="56"/>
      <c r="H25" s="7"/>
      <c r="I25" s="82"/>
      <c r="J25" s="83"/>
      <c r="K25" s="84"/>
    </row>
    <row r="26" spans="1:11" ht="12.75">
      <c r="A26" s="57"/>
      <c r="B26" s="13"/>
      <c r="C26" s="19"/>
      <c r="D26" s="102"/>
      <c r="E26" s="57"/>
      <c r="F26" s="20"/>
      <c r="G26" s="58"/>
      <c r="I26" s="73"/>
      <c r="J26" s="20"/>
      <c r="K26" s="58"/>
    </row>
    <row r="27" spans="1:11" ht="12.75">
      <c r="A27" s="57"/>
      <c r="B27" s="13" t="s">
        <v>23</v>
      </c>
      <c r="C27" s="19"/>
      <c r="D27" s="102"/>
      <c r="E27" s="57"/>
      <c r="F27" s="20"/>
      <c r="G27" s="58"/>
      <c r="I27" s="73"/>
      <c r="J27" s="20"/>
      <c r="K27" s="58"/>
    </row>
    <row r="28" spans="1:11" ht="12.75">
      <c r="A28" s="57"/>
      <c r="B28" s="13"/>
      <c r="C28" s="19" t="s">
        <v>2</v>
      </c>
      <c r="D28" s="102"/>
      <c r="E28" s="57">
        <v>5</v>
      </c>
      <c r="F28" s="59"/>
      <c r="G28" s="58"/>
      <c r="I28" s="73"/>
      <c r="J28" s="20"/>
      <c r="K28" s="58"/>
    </row>
    <row r="29" spans="1:11" ht="12.75">
      <c r="A29" s="57"/>
      <c r="B29" s="13"/>
      <c r="C29" s="19" t="s">
        <v>55</v>
      </c>
      <c r="D29" s="102"/>
      <c r="E29" s="60">
        <v>0</v>
      </c>
      <c r="F29" s="59"/>
      <c r="G29" s="58"/>
      <c r="I29" s="73"/>
      <c r="J29" s="20"/>
      <c r="K29" s="58"/>
    </row>
    <row r="30" spans="1:11" ht="12.75">
      <c r="A30" s="57"/>
      <c r="B30" s="13"/>
      <c r="C30" s="19" t="s">
        <v>3</v>
      </c>
      <c r="D30" s="102"/>
      <c r="E30" s="60">
        <v>25000</v>
      </c>
      <c r="F30" s="59"/>
      <c r="G30" s="58"/>
      <c r="I30" s="73"/>
      <c r="J30" s="20"/>
      <c r="K30" s="58"/>
    </row>
    <row r="31" spans="1:11" ht="12.75">
      <c r="A31" s="57"/>
      <c r="B31" s="13"/>
      <c r="C31" s="19" t="s">
        <v>240</v>
      </c>
      <c r="D31" s="102"/>
      <c r="E31" s="61">
        <f>E28*12.1</f>
        <v>60.5</v>
      </c>
      <c r="F31" s="59"/>
      <c r="G31" s="58"/>
      <c r="I31" s="73"/>
      <c r="J31" s="20"/>
      <c r="K31" s="58"/>
    </row>
    <row r="32" spans="1:11" ht="12.75">
      <c r="A32" s="57"/>
      <c r="B32" s="13"/>
      <c r="C32" s="19" t="s">
        <v>241</v>
      </c>
      <c r="D32" s="102"/>
      <c r="E32" s="62">
        <v>0.7</v>
      </c>
      <c r="F32" s="63"/>
      <c r="G32" s="58"/>
      <c r="I32" s="73"/>
      <c r="J32" s="20"/>
      <c r="K32" s="58"/>
    </row>
    <row r="33" spans="1:11" ht="12.75">
      <c r="A33" s="57"/>
      <c r="B33" s="13"/>
      <c r="C33" s="19" t="s">
        <v>242</v>
      </c>
      <c r="D33" s="102"/>
      <c r="E33" s="61"/>
      <c r="F33" s="59"/>
      <c r="G33" s="58"/>
      <c r="I33" s="90">
        <f>E31*E32</f>
        <v>42.349999999999994</v>
      </c>
      <c r="J33" s="20"/>
      <c r="K33" s="58"/>
    </row>
    <row r="34" spans="1:11" ht="12.75">
      <c r="A34" s="57"/>
      <c r="B34" s="13"/>
      <c r="C34" s="19"/>
      <c r="D34" s="102"/>
      <c r="E34" s="57"/>
      <c r="F34" s="59"/>
      <c r="G34" s="58"/>
      <c r="I34" s="73"/>
      <c r="J34" s="20"/>
      <c r="K34" s="58"/>
    </row>
    <row r="35" spans="1:11" ht="12.75">
      <c r="A35" s="57"/>
      <c r="B35" s="13" t="s">
        <v>52</v>
      </c>
      <c r="C35" s="19"/>
      <c r="D35" s="102"/>
      <c r="E35" s="57"/>
      <c r="F35" s="59"/>
      <c r="G35" s="58"/>
      <c r="I35" s="73"/>
      <c r="J35" s="20"/>
      <c r="K35" s="58"/>
    </row>
    <row r="36" spans="1:11" ht="12.75">
      <c r="A36" s="57"/>
      <c r="B36" s="13"/>
      <c r="C36" s="19" t="s">
        <v>19</v>
      </c>
      <c r="D36" s="102"/>
      <c r="E36" s="57"/>
      <c r="F36" s="59"/>
      <c r="G36" s="58"/>
      <c r="H36" s="10"/>
      <c r="I36" s="73">
        <v>56.7</v>
      </c>
      <c r="J36" s="20"/>
      <c r="K36" s="58"/>
    </row>
    <row r="37" spans="1:11" ht="12.75">
      <c r="A37" s="57"/>
      <c r="B37" s="13"/>
      <c r="C37" s="19" t="s">
        <v>257</v>
      </c>
      <c r="D37" s="102"/>
      <c r="E37" s="57"/>
      <c r="F37" s="63"/>
      <c r="G37" s="58"/>
      <c r="H37" s="22"/>
      <c r="I37" s="85">
        <v>0.75</v>
      </c>
      <c r="J37" s="20"/>
      <c r="K37" s="58"/>
    </row>
    <row r="38" spans="1:11" ht="12.75">
      <c r="A38" s="57"/>
      <c r="B38" s="13"/>
      <c r="C38" s="19" t="s">
        <v>132</v>
      </c>
      <c r="D38" s="102"/>
      <c r="E38" s="57"/>
      <c r="F38" s="64"/>
      <c r="G38" s="58"/>
      <c r="H38" s="1"/>
      <c r="I38" s="73">
        <f>I33/(I36*I37)</f>
        <v>0.9958847736625511</v>
      </c>
      <c r="J38" s="20"/>
      <c r="K38" s="58"/>
    </row>
    <row r="39" spans="1:11" ht="12.75">
      <c r="A39" s="57"/>
      <c r="B39" s="13"/>
      <c r="C39" s="19" t="s">
        <v>237</v>
      </c>
      <c r="D39" s="102"/>
      <c r="E39" s="57"/>
      <c r="F39" s="59"/>
      <c r="G39" s="58"/>
      <c r="H39" s="1"/>
      <c r="I39" s="90">
        <f>ROUNDUP(I38,)</f>
        <v>1</v>
      </c>
      <c r="J39" s="20"/>
      <c r="K39" s="58"/>
    </row>
    <row r="40" spans="1:11" ht="12.75">
      <c r="A40" s="57"/>
      <c r="B40" s="13"/>
      <c r="C40" s="19"/>
      <c r="D40" s="102"/>
      <c r="E40" s="57"/>
      <c r="F40" s="59"/>
      <c r="G40" s="58"/>
      <c r="I40" s="73"/>
      <c r="J40" s="66"/>
      <c r="K40" s="58"/>
    </row>
    <row r="41" spans="1:11" ht="12.75">
      <c r="A41" s="57"/>
      <c r="B41" s="13" t="s">
        <v>6</v>
      </c>
      <c r="C41" s="19"/>
      <c r="D41" s="102"/>
      <c r="E41" s="57"/>
      <c r="F41" s="20"/>
      <c r="G41" s="58"/>
      <c r="I41" s="73"/>
      <c r="J41" s="20"/>
      <c r="K41" s="58"/>
    </row>
    <row r="42" spans="1:11" ht="12.75">
      <c r="A42" s="57"/>
      <c r="B42" s="13"/>
      <c r="C42" s="19" t="s">
        <v>7</v>
      </c>
      <c r="D42" s="102"/>
      <c r="E42" s="57"/>
      <c r="F42" s="20"/>
      <c r="G42" s="58"/>
      <c r="I42" s="73"/>
      <c r="J42" s="20">
        <v>0</v>
      </c>
      <c r="K42" s="58"/>
    </row>
    <row r="43" spans="1:11" ht="12.75">
      <c r="A43" s="57"/>
      <c r="B43" s="13"/>
      <c r="C43" s="19" t="s">
        <v>8</v>
      </c>
      <c r="D43" s="102"/>
      <c r="E43" s="57"/>
      <c r="F43" s="20"/>
      <c r="G43" s="58"/>
      <c r="I43" s="73"/>
      <c r="J43" s="20">
        <v>1000</v>
      </c>
      <c r="K43" s="58"/>
    </row>
    <row r="44" spans="1:11" ht="12.75">
      <c r="A44" s="57"/>
      <c r="B44" s="13"/>
      <c r="C44" s="19" t="s">
        <v>9</v>
      </c>
      <c r="D44" s="102"/>
      <c r="E44" s="57"/>
      <c r="F44" s="20"/>
      <c r="G44" s="58"/>
      <c r="I44" s="73"/>
      <c r="J44" s="20">
        <v>1000</v>
      </c>
      <c r="K44" s="58"/>
    </row>
    <row r="45" spans="1:11" ht="12.75">
      <c r="A45" s="57"/>
      <c r="B45" s="13"/>
      <c r="C45" s="19" t="s">
        <v>10</v>
      </c>
      <c r="D45" s="102"/>
      <c r="E45" s="57"/>
      <c r="F45" s="20"/>
      <c r="G45" s="58"/>
      <c r="I45" s="73"/>
      <c r="J45" s="20">
        <v>1000</v>
      </c>
      <c r="K45" s="58"/>
    </row>
    <row r="46" spans="1:11" ht="12.75">
      <c r="A46" s="57"/>
      <c r="B46" s="13"/>
      <c r="C46" s="16" t="s">
        <v>33</v>
      </c>
      <c r="D46" s="103"/>
      <c r="E46" s="65"/>
      <c r="F46" s="17"/>
      <c r="G46" s="34"/>
      <c r="H46" s="17"/>
      <c r="I46" s="86"/>
      <c r="J46" s="17">
        <f>SUM(J42:J45)</f>
        <v>3000</v>
      </c>
      <c r="K46" s="34">
        <f>SUM(K42:K45)</f>
        <v>0</v>
      </c>
    </row>
    <row r="47" spans="1:11" ht="12.75">
      <c r="A47" s="57"/>
      <c r="B47" s="13"/>
      <c r="C47" s="19"/>
      <c r="D47" s="102"/>
      <c r="E47" s="57"/>
      <c r="F47" s="20"/>
      <c r="G47" s="58"/>
      <c r="I47" s="73"/>
      <c r="J47" s="20"/>
      <c r="K47" s="58"/>
    </row>
    <row r="48" spans="1:11" ht="12.75">
      <c r="A48" s="57"/>
      <c r="B48" s="13" t="s">
        <v>49</v>
      </c>
      <c r="C48" s="19"/>
      <c r="D48" s="102"/>
      <c r="E48" s="57"/>
      <c r="F48" s="20"/>
      <c r="G48" s="58"/>
      <c r="I48" s="73"/>
      <c r="J48" s="20"/>
      <c r="K48" s="58"/>
    </row>
    <row r="49" spans="1:11" ht="12.75">
      <c r="A49" s="57"/>
      <c r="B49" s="13"/>
      <c r="C49" s="19" t="s">
        <v>35</v>
      </c>
      <c r="D49" s="102"/>
      <c r="E49" s="57"/>
      <c r="F49" s="66"/>
      <c r="G49" s="67"/>
      <c r="I49" s="73"/>
      <c r="J49" s="20"/>
      <c r="K49" s="58"/>
    </row>
    <row r="50" spans="1:11" ht="12.75">
      <c r="A50" s="57"/>
      <c r="B50" s="13"/>
      <c r="C50" s="19"/>
      <c r="D50" s="102" t="s">
        <v>1</v>
      </c>
      <c r="E50" s="57"/>
      <c r="F50" s="20"/>
      <c r="G50" s="58"/>
      <c r="I50" s="85"/>
      <c r="J50" s="20">
        <f>163524</f>
        <v>163524</v>
      </c>
      <c r="K50" s="58"/>
    </row>
    <row r="51" spans="1:11" ht="12.75">
      <c r="A51" s="57"/>
      <c r="B51" s="13"/>
      <c r="C51" s="19"/>
      <c r="D51" s="102" t="s">
        <v>60</v>
      </c>
      <c r="E51" s="57"/>
      <c r="F51" s="20"/>
      <c r="G51" s="58"/>
      <c r="I51" s="85">
        <v>0.08</v>
      </c>
      <c r="J51" s="20">
        <f>J50*I51</f>
        <v>13081.92</v>
      </c>
      <c r="K51" s="58"/>
    </row>
    <row r="52" spans="1:11" ht="12.75">
      <c r="A52" s="57"/>
      <c r="B52" s="13"/>
      <c r="C52" s="19"/>
      <c r="D52" s="102"/>
      <c r="E52" s="57"/>
      <c r="F52" s="20"/>
      <c r="G52" s="58"/>
      <c r="I52" s="73"/>
      <c r="J52" s="20"/>
      <c r="K52" s="58"/>
    </row>
    <row r="53" spans="1:11" ht="12.75">
      <c r="A53" s="57"/>
      <c r="B53" s="13"/>
      <c r="C53" s="19" t="s">
        <v>119</v>
      </c>
      <c r="D53" s="102"/>
      <c r="E53" s="57"/>
      <c r="F53" s="20"/>
      <c r="G53" s="58"/>
      <c r="I53" s="73"/>
      <c r="J53" s="20">
        <f>-Salvage_Value</f>
        <v>-25000</v>
      </c>
      <c r="K53" s="58"/>
    </row>
    <row r="54" spans="1:11" ht="12.75">
      <c r="A54" s="57"/>
      <c r="B54" s="13"/>
      <c r="C54" s="19"/>
      <c r="D54" s="102"/>
      <c r="E54" s="57"/>
      <c r="F54" s="20"/>
      <c r="G54" s="58"/>
      <c r="I54" s="73"/>
      <c r="J54" s="20"/>
      <c r="K54" s="58"/>
    </row>
    <row r="55" spans="1:11" ht="12.75">
      <c r="A55" s="57"/>
      <c r="B55" s="13"/>
      <c r="C55" s="16" t="s">
        <v>34</v>
      </c>
      <c r="D55" s="103"/>
      <c r="E55" s="65"/>
      <c r="F55" s="17"/>
      <c r="G55" s="34"/>
      <c r="H55" s="18"/>
      <c r="I55" s="86"/>
      <c r="J55" s="17">
        <f>SUM(J50:J54)</f>
        <v>151605.92</v>
      </c>
      <c r="K55" s="34">
        <f>SUM(K49:K54)</f>
        <v>0</v>
      </c>
    </row>
    <row r="56" spans="1:11" ht="12.75">
      <c r="A56" s="57"/>
      <c r="B56" s="13"/>
      <c r="C56" s="19"/>
      <c r="D56" s="102"/>
      <c r="E56" s="57"/>
      <c r="F56" s="20"/>
      <c r="G56" s="58"/>
      <c r="I56" s="73"/>
      <c r="J56" s="20"/>
      <c r="K56" s="58"/>
    </row>
    <row r="57" spans="1:11" ht="12.75">
      <c r="A57" s="57"/>
      <c r="B57" s="13" t="s">
        <v>243</v>
      </c>
      <c r="C57" s="19"/>
      <c r="D57" s="102"/>
      <c r="E57" s="57"/>
      <c r="F57" s="20"/>
      <c r="G57" s="58"/>
      <c r="I57" s="73"/>
      <c r="J57" s="20"/>
      <c r="K57" s="58"/>
    </row>
    <row r="58" spans="1:11" ht="12.75">
      <c r="A58" s="57"/>
      <c r="B58" s="13"/>
      <c r="C58" s="19" t="s">
        <v>14</v>
      </c>
      <c r="D58" s="102"/>
      <c r="E58" s="57">
        <f>24*356</f>
        <v>8544</v>
      </c>
      <c r="F58" s="20"/>
      <c r="G58" s="58"/>
      <c r="I58" s="90">
        <f>Hours_per_Year</f>
        <v>8544</v>
      </c>
      <c r="J58" s="20"/>
      <c r="K58" s="58"/>
    </row>
    <row r="59" spans="1:11" ht="12.75">
      <c r="A59" s="57"/>
      <c r="B59" s="13"/>
      <c r="C59" s="19"/>
      <c r="D59" s="102"/>
      <c r="E59" s="57"/>
      <c r="F59" s="20"/>
      <c r="G59" s="58"/>
      <c r="I59" s="73"/>
      <c r="J59" s="20"/>
      <c r="K59" s="58"/>
    </row>
    <row r="60" spans="1:11" ht="12.75">
      <c r="A60" s="57"/>
      <c r="B60" s="13"/>
      <c r="C60" s="19" t="s">
        <v>11</v>
      </c>
      <c r="D60" s="102"/>
      <c r="E60" s="57"/>
      <c r="F60" s="20"/>
      <c r="G60" s="58"/>
      <c r="I60" s="73"/>
      <c r="J60" s="20"/>
      <c r="K60" s="58"/>
    </row>
    <row r="61" spans="1:11" ht="12.75">
      <c r="A61" s="57"/>
      <c r="B61" s="13"/>
      <c r="C61" s="19"/>
      <c r="D61" s="102" t="s">
        <v>101</v>
      </c>
      <c r="E61" s="68">
        <f>2*(25.5*40.1)/144</f>
        <v>14.202083333333334</v>
      </c>
      <c r="F61" s="20"/>
      <c r="G61" s="58"/>
      <c r="I61" s="73">
        <f>E61</f>
        <v>14.202083333333334</v>
      </c>
      <c r="J61" s="20"/>
      <c r="K61" s="58"/>
    </row>
    <row r="62" spans="1:11" ht="12.75">
      <c r="A62" s="57"/>
      <c r="B62" s="13"/>
      <c r="C62" s="19"/>
      <c r="D62" s="102" t="s">
        <v>102</v>
      </c>
      <c r="E62" s="69">
        <v>15</v>
      </c>
      <c r="F62" s="20"/>
      <c r="G62" s="58"/>
      <c r="I62" s="87">
        <f>E62</f>
        <v>15</v>
      </c>
      <c r="J62" s="20"/>
      <c r="K62" s="58"/>
    </row>
    <row r="63" spans="1:11" ht="12.75">
      <c r="A63" s="57"/>
      <c r="B63" s="13"/>
      <c r="C63" s="19"/>
      <c r="D63" s="102" t="s">
        <v>103</v>
      </c>
      <c r="E63" s="69"/>
      <c r="F63" s="20"/>
      <c r="G63" s="58">
        <f>E62*E61*12*E28</f>
        <v>12781.875</v>
      </c>
      <c r="I63" s="87"/>
      <c r="J63" s="20"/>
      <c r="K63" s="58">
        <f>I62*I61*I39*12</f>
        <v>2556.375</v>
      </c>
    </row>
    <row r="64" spans="1:11" ht="12.75">
      <c r="A64" s="57"/>
      <c r="B64" s="13"/>
      <c r="C64" s="19"/>
      <c r="D64" s="102"/>
      <c r="E64" s="57"/>
      <c r="F64" s="20"/>
      <c r="G64" s="58"/>
      <c r="I64" s="73"/>
      <c r="J64" s="20"/>
      <c r="K64" s="58"/>
    </row>
    <row r="65" spans="1:11" ht="12.75">
      <c r="A65" s="57"/>
      <c r="B65" s="13"/>
      <c r="C65" s="19" t="s">
        <v>12</v>
      </c>
      <c r="D65" s="102"/>
      <c r="E65" s="57"/>
      <c r="F65" s="20"/>
      <c r="G65" s="58"/>
      <c r="I65" s="73"/>
      <c r="J65" s="20"/>
      <c r="K65" s="58"/>
    </row>
    <row r="66" spans="1:11" ht="12.75">
      <c r="A66" s="57"/>
      <c r="B66" s="13"/>
      <c r="C66" s="19"/>
      <c r="D66" s="102" t="s">
        <v>105</v>
      </c>
      <c r="E66" s="57">
        <f>0.72+0.5</f>
        <v>1.22</v>
      </c>
      <c r="F66" s="20"/>
      <c r="G66" s="58"/>
      <c r="I66" s="73">
        <f>0.38+0.636</f>
        <v>1.016</v>
      </c>
      <c r="J66" s="20"/>
      <c r="K66" s="58"/>
    </row>
    <row r="67" spans="1:11" ht="12.75">
      <c r="A67" s="57"/>
      <c r="B67" s="13"/>
      <c r="C67" s="19"/>
      <c r="D67" s="102" t="s">
        <v>73</v>
      </c>
      <c r="E67" s="70">
        <v>0.1115</v>
      </c>
      <c r="F67" s="20"/>
      <c r="G67" s="58"/>
      <c r="I67" s="88">
        <f>E67</f>
        <v>0.1115</v>
      </c>
      <c r="J67" s="20"/>
      <c r="K67" s="58"/>
    </row>
    <row r="68" spans="1:11" ht="12.75">
      <c r="A68" s="57"/>
      <c r="B68" s="13"/>
      <c r="C68" s="19"/>
      <c r="D68" s="102" t="s">
        <v>104</v>
      </c>
      <c r="E68" s="57"/>
      <c r="F68" s="20"/>
      <c r="G68" s="58">
        <f>E67*E66*Hours_per_Year*E28</f>
        <v>5811.2016</v>
      </c>
      <c r="I68" s="73"/>
      <c r="J68" s="20"/>
      <c r="K68" s="58">
        <f>I67*I66*Hours_per_Year*I39</f>
        <v>967.8984960000001</v>
      </c>
    </row>
    <row r="69" spans="1:11" ht="12.75">
      <c r="A69" s="57"/>
      <c r="B69" s="13"/>
      <c r="C69" s="19"/>
      <c r="D69" s="102"/>
      <c r="E69" s="57"/>
      <c r="F69" s="20"/>
      <c r="G69" s="58"/>
      <c r="I69" s="73"/>
      <c r="J69" s="20"/>
      <c r="K69" s="58"/>
    </row>
    <row r="70" spans="1:11" ht="12.75">
      <c r="A70" s="57"/>
      <c r="B70" s="13"/>
      <c r="C70" s="19" t="s">
        <v>13</v>
      </c>
      <c r="D70" s="102"/>
      <c r="E70" s="57"/>
      <c r="F70" s="20"/>
      <c r="G70" s="58"/>
      <c r="I70" s="73"/>
      <c r="J70" s="20"/>
      <c r="K70" s="58"/>
    </row>
    <row r="71" spans="1:11" ht="12.75">
      <c r="A71" s="57"/>
      <c r="B71" s="13"/>
      <c r="C71" s="19"/>
      <c r="D71" s="102" t="s">
        <v>146</v>
      </c>
      <c r="E71" s="109">
        <v>32.67</v>
      </c>
      <c r="F71" s="20"/>
      <c r="G71" s="58"/>
      <c r="I71" s="109">
        <f>E71</f>
        <v>32.67</v>
      </c>
      <c r="J71" s="20"/>
      <c r="K71" s="58"/>
    </row>
    <row r="72" spans="1:11" ht="12.75">
      <c r="A72" s="57"/>
      <c r="B72" s="13"/>
      <c r="C72" s="19"/>
      <c r="D72" s="102" t="s">
        <v>147</v>
      </c>
      <c r="E72" s="109"/>
      <c r="F72" s="20"/>
      <c r="G72" s="58">
        <f>E66*Hours_per_Year*E28*E71*3413/1000000</f>
        <v>5811.342840864</v>
      </c>
      <c r="I72" s="73"/>
      <c r="J72" s="20"/>
      <c r="K72" s="58">
        <f>I66*I39*Hours_per_Year*I71*3413/1000000</f>
        <v>967.9220207078399</v>
      </c>
    </row>
    <row r="73" spans="1:11" s="19" customFormat="1" ht="12.75">
      <c r="A73" s="57"/>
      <c r="B73" s="13"/>
      <c r="D73" s="102"/>
      <c r="E73" s="57"/>
      <c r="F73" s="20"/>
      <c r="G73" s="58"/>
      <c r="H73" s="21"/>
      <c r="I73" s="73"/>
      <c r="J73" s="20"/>
      <c r="K73" s="58"/>
    </row>
    <row r="74" spans="1:11" ht="12.75">
      <c r="A74" s="57"/>
      <c r="B74" s="13"/>
      <c r="C74" s="16" t="s">
        <v>48</v>
      </c>
      <c r="D74" s="103"/>
      <c r="E74" s="65"/>
      <c r="F74" s="17">
        <f>SUM(F58:F73)</f>
        <v>0</v>
      </c>
      <c r="G74" s="34">
        <f>SUM(G58:G73)</f>
        <v>24404.419440864</v>
      </c>
      <c r="H74" s="18"/>
      <c r="I74" s="86"/>
      <c r="J74" s="17">
        <f>SUM(J58:J73)</f>
        <v>0</v>
      </c>
      <c r="K74" s="34">
        <f>SUM(K58:K73)</f>
        <v>4492.19551670784</v>
      </c>
    </row>
    <row r="75" spans="1:11" ht="12.75">
      <c r="A75" s="57"/>
      <c r="B75" s="13"/>
      <c r="C75" s="19"/>
      <c r="D75" s="102"/>
      <c r="E75" s="57"/>
      <c r="F75" s="20"/>
      <c r="G75" s="58"/>
      <c r="I75" s="73"/>
      <c r="J75" s="20"/>
      <c r="K75" s="58"/>
    </row>
    <row r="76" spans="1:11" ht="12.75">
      <c r="A76" s="57"/>
      <c r="B76" s="13" t="s">
        <v>4</v>
      </c>
      <c r="C76" s="19"/>
      <c r="D76" s="102"/>
      <c r="E76" s="57"/>
      <c r="F76" s="20"/>
      <c r="G76" s="58"/>
      <c r="I76" s="73"/>
      <c r="J76" s="20"/>
      <c r="K76" s="58"/>
    </row>
    <row r="77" spans="1:11" ht="12.75">
      <c r="A77" s="57"/>
      <c r="B77" s="13"/>
      <c r="C77" s="148" t="s">
        <v>296</v>
      </c>
      <c r="D77" s="102"/>
      <c r="E77" s="57"/>
      <c r="F77" s="20"/>
      <c r="G77" s="58"/>
      <c r="I77" s="73"/>
      <c r="J77" s="20"/>
      <c r="K77" s="58"/>
    </row>
    <row r="78" spans="1:11" ht="12.75">
      <c r="A78" s="57"/>
      <c r="B78" s="13"/>
      <c r="C78" s="19" t="s">
        <v>15</v>
      </c>
      <c r="D78" s="102"/>
      <c r="E78" s="57"/>
      <c r="F78" s="20"/>
      <c r="G78" s="58"/>
      <c r="I78" s="73"/>
      <c r="J78" s="20"/>
      <c r="K78" s="58"/>
    </row>
    <row r="79" spans="1:11" ht="12.75">
      <c r="A79" s="57"/>
      <c r="B79" s="13"/>
      <c r="C79" s="19"/>
      <c r="D79" s="102" t="s">
        <v>264</v>
      </c>
      <c r="E79" s="57">
        <v>48</v>
      </c>
      <c r="F79" s="20"/>
      <c r="G79" s="58"/>
      <c r="I79" s="90">
        <f>E79</f>
        <v>48</v>
      </c>
      <c r="J79" s="20"/>
      <c r="K79" s="58"/>
    </row>
    <row r="80" spans="1:11" ht="12.75">
      <c r="A80" s="57"/>
      <c r="B80" s="13"/>
      <c r="C80" s="19"/>
      <c r="D80" s="102" t="s">
        <v>16</v>
      </c>
      <c r="E80" s="60">
        <v>60000</v>
      </c>
      <c r="F80" s="20"/>
      <c r="G80" s="58"/>
      <c r="I80" s="87">
        <f>E80</f>
        <v>60000</v>
      </c>
      <c r="J80" s="20"/>
      <c r="K80" s="58"/>
    </row>
    <row r="81" spans="1:11" ht="12.75">
      <c r="A81" s="57"/>
      <c r="B81" s="13"/>
      <c r="C81" s="19"/>
      <c r="D81" s="102" t="s">
        <v>99</v>
      </c>
      <c r="E81" s="60"/>
      <c r="F81" s="20"/>
      <c r="G81" s="58">
        <f>E80*E28/E79</f>
        <v>6250</v>
      </c>
      <c r="I81" s="73"/>
      <c r="J81" s="20"/>
      <c r="K81" s="58">
        <f>I80*I39/I79</f>
        <v>1250</v>
      </c>
    </row>
    <row r="82" spans="1:11" ht="12.75">
      <c r="A82" s="57"/>
      <c r="B82" s="13"/>
      <c r="C82" s="19"/>
      <c r="D82" s="102"/>
      <c r="E82" s="57"/>
      <c r="F82" s="20"/>
      <c r="G82" s="58"/>
      <c r="I82" s="73"/>
      <c r="J82" s="20"/>
      <c r="K82" s="58"/>
    </row>
    <row r="83" spans="1:11" ht="12.75">
      <c r="A83" s="57"/>
      <c r="B83" s="13"/>
      <c r="C83" s="19" t="s">
        <v>17</v>
      </c>
      <c r="D83" s="102"/>
      <c r="E83" s="57"/>
      <c r="F83" s="20"/>
      <c r="G83" s="58"/>
      <c r="I83" s="73"/>
      <c r="J83" s="20"/>
      <c r="K83" s="58"/>
    </row>
    <row r="84" spans="1:11" ht="12.75">
      <c r="A84" s="57"/>
      <c r="B84" s="13"/>
      <c r="C84" s="19"/>
      <c r="D84" s="102" t="s">
        <v>130</v>
      </c>
      <c r="E84" s="57">
        <v>16</v>
      </c>
      <c r="F84" s="20"/>
      <c r="G84" s="58"/>
      <c r="I84" s="124">
        <v>12</v>
      </c>
      <c r="J84" s="20"/>
      <c r="K84" s="58"/>
    </row>
    <row r="85" spans="1:11" ht="12.75">
      <c r="A85" s="57"/>
      <c r="B85" s="13"/>
      <c r="C85" s="19"/>
      <c r="D85" s="102" t="s">
        <v>18</v>
      </c>
      <c r="E85" s="60">
        <v>100000</v>
      </c>
      <c r="F85" s="20"/>
      <c r="G85" s="58"/>
      <c r="I85" s="87">
        <f>E85</f>
        <v>100000</v>
      </c>
      <c r="J85" s="20"/>
      <c r="K85" s="58"/>
    </row>
    <row r="86" spans="1:11" ht="12.75">
      <c r="A86" s="57"/>
      <c r="B86" s="13"/>
      <c r="C86" s="19"/>
      <c r="D86" s="102" t="s">
        <v>100</v>
      </c>
      <c r="E86" s="57"/>
      <c r="F86" s="20"/>
      <c r="G86" s="58">
        <f>E85*E28/E84</f>
        <v>31250</v>
      </c>
      <c r="I86" s="73"/>
      <c r="J86" s="20"/>
      <c r="K86" s="58">
        <f>I85*I39/I84</f>
        <v>8333.333333333334</v>
      </c>
    </row>
    <row r="87" spans="1:11" ht="12.75">
      <c r="A87" s="57"/>
      <c r="B87" s="13"/>
      <c r="C87" s="19"/>
      <c r="D87" s="102"/>
      <c r="E87" s="57"/>
      <c r="F87" s="20"/>
      <c r="G87" s="58"/>
      <c r="I87" s="73"/>
      <c r="J87" s="20"/>
      <c r="K87" s="58"/>
    </row>
    <row r="88" spans="1:11" ht="12.75">
      <c r="A88" s="57"/>
      <c r="B88" s="13"/>
      <c r="C88" s="19" t="s">
        <v>44</v>
      </c>
      <c r="D88" s="102"/>
      <c r="E88" s="57"/>
      <c r="F88" s="20"/>
      <c r="G88" s="58"/>
      <c r="I88" s="73"/>
      <c r="J88" s="20"/>
      <c r="K88" s="58"/>
    </row>
    <row r="89" spans="1:11" ht="12.75">
      <c r="A89" s="57"/>
      <c r="B89" s="13"/>
      <c r="C89" s="19"/>
      <c r="D89" s="102" t="s">
        <v>295</v>
      </c>
      <c r="E89" s="57"/>
      <c r="F89" s="20"/>
      <c r="G89" s="58"/>
      <c r="I89" s="73"/>
      <c r="J89" s="20"/>
      <c r="K89" s="58"/>
    </row>
    <row r="90" spans="1:11" ht="12.75">
      <c r="A90" s="57"/>
      <c r="B90" s="13"/>
      <c r="C90" s="19"/>
      <c r="D90" s="102"/>
      <c r="E90" s="57"/>
      <c r="F90" s="20"/>
      <c r="G90" s="58"/>
      <c r="I90" s="73"/>
      <c r="J90" s="20"/>
      <c r="K90" s="58"/>
    </row>
    <row r="91" spans="1:11" ht="12.75">
      <c r="A91" s="57"/>
      <c r="B91" s="13"/>
      <c r="C91" s="148" t="s">
        <v>293</v>
      </c>
      <c r="D91" s="102"/>
      <c r="E91" s="57"/>
      <c r="F91" s="20"/>
      <c r="G91" s="58"/>
      <c r="I91" s="73"/>
      <c r="J91" s="20"/>
      <c r="K91" s="58"/>
    </row>
    <row r="92" spans="1:11" ht="12.75">
      <c r="A92" s="57"/>
      <c r="B92" s="13"/>
      <c r="C92" s="19" t="s">
        <v>294</v>
      </c>
      <c r="D92" s="102"/>
      <c r="E92" s="57"/>
      <c r="F92" s="20"/>
      <c r="G92" s="58"/>
      <c r="I92" s="73"/>
      <c r="J92" s="20"/>
      <c r="K92" s="58"/>
    </row>
    <row r="93" spans="1:11" ht="12.75">
      <c r="A93" s="57"/>
      <c r="B93" s="13"/>
      <c r="C93" s="19"/>
      <c r="D93" s="102"/>
      <c r="E93" s="57"/>
      <c r="F93" s="20"/>
      <c r="G93" s="58"/>
      <c r="I93" s="73"/>
      <c r="J93" s="20"/>
      <c r="K93" s="58"/>
    </row>
    <row r="94" spans="1:11" ht="12.75">
      <c r="A94" s="57"/>
      <c r="B94" s="13"/>
      <c r="C94" s="16" t="s">
        <v>50</v>
      </c>
      <c r="D94" s="103"/>
      <c r="E94" s="65"/>
      <c r="F94" s="17">
        <f>SUM(F78:F93)</f>
        <v>0</v>
      </c>
      <c r="G94" s="34">
        <f>SUM(G78:G93)</f>
        <v>37500</v>
      </c>
      <c r="H94" s="18"/>
      <c r="I94" s="86"/>
      <c r="J94" s="17">
        <f>SUM(J78:J93)</f>
        <v>0</v>
      </c>
      <c r="K94" s="34">
        <f>SUM(K78:K93)</f>
        <v>9583.333333333334</v>
      </c>
    </row>
    <row r="95" spans="1:11" ht="12.75">
      <c r="A95" s="57"/>
      <c r="B95" s="13"/>
      <c r="C95" s="19"/>
      <c r="D95" s="102"/>
      <c r="E95" s="57"/>
      <c r="F95" s="20"/>
      <c r="G95" s="58"/>
      <c r="I95" s="73"/>
      <c r="J95" s="20"/>
      <c r="K95" s="58"/>
    </row>
    <row r="96" spans="1:11" ht="12.75">
      <c r="A96" s="57"/>
      <c r="B96" s="13" t="s">
        <v>125</v>
      </c>
      <c r="C96" s="19"/>
      <c r="D96" s="102"/>
      <c r="E96" s="57"/>
      <c r="F96" s="20"/>
      <c r="G96" s="58"/>
      <c r="I96" s="73"/>
      <c r="J96" s="20"/>
      <c r="K96" s="58"/>
    </row>
    <row r="97" spans="1:11" ht="12.75">
      <c r="A97" s="57"/>
      <c r="B97" s="13"/>
      <c r="C97" s="19" t="s">
        <v>20</v>
      </c>
      <c r="D97" s="102"/>
      <c r="E97" s="57"/>
      <c r="F97" s="20"/>
      <c r="G97" s="58"/>
      <c r="I97" s="73"/>
      <c r="J97" s="20"/>
      <c r="K97" s="58"/>
    </row>
    <row r="98" spans="1:11" ht="12.75">
      <c r="A98" s="57"/>
      <c r="B98" s="13"/>
      <c r="C98" s="19"/>
      <c r="D98" s="102" t="s">
        <v>141</v>
      </c>
      <c r="E98" s="60">
        <f>659+35+140+68+175</f>
        <v>1077</v>
      </c>
      <c r="F98" s="20"/>
      <c r="G98" s="58"/>
      <c r="I98" s="87">
        <v>764</v>
      </c>
      <c r="J98" s="20"/>
      <c r="K98" s="58"/>
    </row>
    <row r="99" spans="1:11" ht="12.75">
      <c r="A99" s="57"/>
      <c r="B99" s="13"/>
      <c r="C99" s="19"/>
      <c r="D99" s="102" t="s">
        <v>142</v>
      </c>
      <c r="E99" s="57"/>
      <c r="F99" s="20"/>
      <c r="G99" s="58">
        <f>E98*E28*12</f>
        <v>64620</v>
      </c>
      <c r="I99" s="87"/>
      <c r="J99" s="20"/>
      <c r="K99" s="58">
        <f>I98*I39*12</f>
        <v>9168</v>
      </c>
    </row>
    <row r="100" spans="1:11" ht="12.75">
      <c r="A100" s="57"/>
      <c r="B100" s="13"/>
      <c r="C100" s="19"/>
      <c r="D100" s="102"/>
      <c r="E100" s="57"/>
      <c r="F100" s="20"/>
      <c r="G100" s="58"/>
      <c r="I100" s="73"/>
      <c r="J100" s="20"/>
      <c r="K100" s="58"/>
    </row>
    <row r="101" spans="1:11" ht="12.75">
      <c r="A101" s="57"/>
      <c r="B101" s="13"/>
      <c r="C101" s="16" t="s">
        <v>254</v>
      </c>
      <c r="D101" s="103"/>
      <c r="E101" s="65"/>
      <c r="F101" s="17">
        <f>SUM(F97:F100)</f>
        <v>0</v>
      </c>
      <c r="G101" s="34">
        <f>SUM(G97:G100)</f>
        <v>64620</v>
      </c>
      <c r="H101" s="18"/>
      <c r="I101" s="86"/>
      <c r="J101" s="17">
        <f>SUM(J97:J100)</f>
        <v>0</v>
      </c>
      <c r="K101" s="34">
        <f>SUM(K97:K100)</f>
        <v>9168</v>
      </c>
    </row>
    <row r="102" spans="1:11" ht="12.75">
      <c r="A102" s="57"/>
      <c r="B102" s="13"/>
      <c r="C102" s="19"/>
      <c r="D102" s="102"/>
      <c r="E102" s="57"/>
      <c r="F102" s="20"/>
      <c r="G102" s="58"/>
      <c r="I102" s="73"/>
      <c r="J102" s="20"/>
      <c r="K102" s="58"/>
    </row>
    <row r="103" spans="1:11" ht="12.75">
      <c r="A103" s="57"/>
      <c r="B103" s="13" t="s">
        <v>21</v>
      </c>
      <c r="C103" s="19"/>
      <c r="D103" s="102"/>
      <c r="E103" s="57"/>
      <c r="F103" s="20"/>
      <c r="G103" s="58"/>
      <c r="I103" s="73"/>
      <c r="J103" s="20"/>
      <c r="K103" s="58"/>
    </row>
    <row r="104" spans="1:11" ht="12.75">
      <c r="A104" s="57"/>
      <c r="B104" s="13"/>
      <c r="C104" s="19" t="s">
        <v>26</v>
      </c>
      <c r="D104" s="102"/>
      <c r="E104" s="71">
        <v>0.999</v>
      </c>
      <c r="F104" s="72"/>
      <c r="G104" s="58"/>
      <c r="I104" s="89">
        <v>0.99925</v>
      </c>
      <c r="J104" s="20"/>
      <c r="K104" s="58"/>
    </row>
    <row r="105" spans="1:11" ht="12.75">
      <c r="A105" s="57"/>
      <c r="B105" s="13"/>
      <c r="C105" s="19" t="s">
        <v>106</v>
      </c>
      <c r="D105" s="102"/>
      <c r="E105" s="73">
        <f>(1-E104)*Hours_per_Year</f>
        <v>8.544000000000008</v>
      </c>
      <c r="F105" s="72"/>
      <c r="G105" s="58"/>
      <c r="I105" s="73">
        <f>(1-I104)*Hours_per_Year</f>
        <v>6.408000000000243</v>
      </c>
      <c r="J105" s="20"/>
      <c r="K105" s="58"/>
    </row>
    <row r="106" spans="1:11" ht="12.75">
      <c r="A106" s="57"/>
      <c r="B106" s="13"/>
      <c r="C106" s="19" t="s">
        <v>25</v>
      </c>
      <c r="D106" s="102"/>
      <c r="E106" s="57"/>
      <c r="F106" s="20"/>
      <c r="G106" s="58"/>
      <c r="I106" s="73"/>
      <c r="J106" s="20"/>
      <c r="K106" s="58"/>
    </row>
    <row r="107" spans="1:11" ht="12.75">
      <c r="A107" s="57"/>
      <c r="B107" s="13"/>
      <c r="C107" s="19"/>
      <c r="D107" s="102" t="s">
        <v>118</v>
      </c>
      <c r="E107" s="57">
        <v>200</v>
      </c>
      <c r="F107" s="20"/>
      <c r="G107" s="58"/>
      <c r="I107" s="90">
        <f>E107</f>
        <v>200</v>
      </c>
      <c r="J107" s="20"/>
      <c r="K107" s="58"/>
    </row>
    <row r="108" spans="1:11" ht="12.75">
      <c r="A108" s="57"/>
      <c r="B108" s="13"/>
      <c r="C108" s="19"/>
      <c r="D108" s="102" t="s">
        <v>22</v>
      </c>
      <c r="E108" s="69">
        <v>25</v>
      </c>
      <c r="F108" s="20"/>
      <c r="G108" s="58"/>
      <c r="I108" s="87">
        <f>E108</f>
        <v>25</v>
      </c>
      <c r="J108" s="20"/>
      <c r="K108" s="58"/>
    </row>
    <row r="109" spans="1:11" ht="12.75">
      <c r="A109" s="57"/>
      <c r="B109" s="13"/>
      <c r="C109" s="19"/>
      <c r="D109" s="102" t="s">
        <v>143</v>
      </c>
      <c r="E109" s="57"/>
      <c r="F109" s="20"/>
      <c r="G109" s="58">
        <f>(1-E104)*Hours_per_Year*E107*E108</f>
        <v>42720.00000000004</v>
      </c>
      <c r="I109" s="73"/>
      <c r="J109" s="20"/>
      <c r="K109" s="58">
        <f>(1-I104)*I39*I107*I108*Hours_per_Year</f>
        <v>32040.000000001215</v>
      </c>
    </row>
    <row r="110" spans="1:11" ht="12.75">
      <c r="A110" s="57"/>
      <c r="B110" s="13"/>
      <c r="C110" s="19"/>
      <c r="D110" s="102"/>
      <c r="E110" s="57"/>
      <c r="F110" s="20"/>
      <c r="G110" s="58"/>
      <c r="I110" s="73"/>
      <c r="J110" s="20"/>
      <c r="K110" s="58"/>
    </row>
    <row r="111" spans="1:11" ht="12.75">
      <c r="A111" s="57"/>
      <c r="B111" s="13"/>
      <c r="C111" s="16" t="s">
        <v>41</v>
      </c>
      <c r="D111" s="103"/>
      <c r="E111" s="65"/>
      <c r="F111" s="17">
        <f>SUM(F104:F110)</f>
        <v>0</v>
      </c>
      <c r="G111" s="34">
        <f>SUM(G104:G110)</f>
        <v>42720.00000000004</v>
      </c>
      <c r="H111" s="18"/>
      <c r="I111" s="86"/>
      <c r="J111" s="17">
        <f>SUM(J104:J110)</f>
        <v>0</v>
      </c>
      <c r="K111" s="34">
        <f>SUM(K104:K110)</f>
        <v>32040.000000001215</v>
      </c>
    </row>
    <row r="112" spans="1:11" ht="12.75">
      <c r="A112" s="57"/>
      <c r="B112" s="13"/>
      <c r="C112" s="19"/>
      <c r="D112" s="102"/>
      <c r="E112" s="57"/>
      <c r="F112" s="20"/>
      <c r="G112" s="58"/>
      <c r="I112" s="73"/>
      <c r="J112" s="20"/>
      <c r="K112" s="58"/>
    </row>
    <row r="113" spans="1:11" ht="12.75">
      <c r="A113" s="57"/>
      <c r="B113" s="13"/>
      <c r="C113" s="19"/>
      <c r="D113" s="102"/>
      <c r="E113" s="57"/>
      <c r="F113" s="20"/>
      <c r="G113" s="58"/>
      <c r="I113" s="73"/>
      <c r="J113" s="20"/>
      <c r="K113" s="58"/>
    </row>
    <row r="114" spans="1:11" ht="15.75">
      <c r="A114" s="98" t="s">
        <v>24</v>
      </c>
      <c r="B114" s="104"/>
      <c r="C114" s="105"/>
      <c r="D114" s="106"/>
      <c r="E114" s="74"/>
      <c r="F114" s="75"/>
      <c r="G114" s="76"/>
      <c r="H114" s="15"/>
      <c r="I114" s="91"/>
      <c r="J114" s="83"/>
      <c r="K114" s="84"/>
    </row>
    <row r="115" spans="1:11" ht="12.75">
      <c r="A115" s="57"/>
      <c r="B115" s="13"/>
      <c r="C115" s="19"/>
      <c r="D115" s="102"/>
      <c r="E115" s="57"/>
      <c r="F115" s="20"/>
      <c r="G115" s="58"/>
      <c r="I115" s="73"/>
      <c r="J115" s="20"/>
      <c r="K115" s="58"/>
    </row>
    <row r="116" spans="1:11" ht="12.75">
      <c r="A116" s="57"/>
      <c r="B116" s="13" t="s">
        <v>29</v>
      </c>
      <c r="C116" s="19"/>
      <c r="D116" s="102"/>
      <c r="E116" s="57"/>
      <c r="F116" s="20"/>
      <c r="G116" s="58"/>
      <c r="I116" s="73"/>
      <c r="J116" s="20"/>
      <c r="K116" s="58"/>
    </row>
    <row r="117" spans="1:11" ht="12.75">
      <c r="A117" s="57"/>
      <c r="B117" s="13"/>
      <c r="C117" s="19" t="s">
        <v>30</v>
      </c>
      <c r="D117" s="102"/>
      <c r="E117" s="57"/>
      <c r="F117" s="20">
        <v>0</v>
      </c>
      <c r="G117" s="58"/>
      <c r="I117" s="73"/>
      <c r="J117" s="20">
        <v>5000</v>
      </c>
      <c r="K117" s="58"/>
    </row>
    <row r="118" spans="1:11" ht="12.75">
      <c r="A118" s="57"/>
      <c r="B118" s="13"/>
      <c r="C118" s="19" t="s">
        <v>64</v>
      </c>
      <c r="D118" s="102"/>
      <c r="E118" s="57"/>
      <c r="F118" s="20">
        <v>0</v>
      </c>
      <c r="G118" s="58"/>
      <c r="I118" s="73"/>
      <c r="J118" s="20">
        <v>5000</v>
      </c>
      <c r="K118" s="58"/>
    </row>
    <row r="119" spans="1:11" ht="12.75">
      <c r="A119" s="57"/>
      <c r="B119" s="13"/>
      <c r="C119" s="16" t="s">
        <v>40</v>
      </c>
      <c r="D119" s="103"/>
      <c r="E119" s="65"/>
      <c r="F119" s="17">
        <f>SUM(F117:F118)</f>
        <v>0</v>
      </c>
      <c r="G119" s="34">
        <f>SUM(G117:G118)</f>
        <v>0</v>
      </c>
      <c r="H119" s="18"/>
      <c r="I119" s="86"/>
      <c r="J119" s="17">
        <f>SUM(J117:J118)</f>
        <v>10000</v>
      </c>
      <c r="K119" s="34">
        <f>SUM(K117:K118)</f>
        <v>0</v>
      </c>
    </row>
    <row r="120" spans="1:11" ht="12.75">
      <c r="A120" s="57"/>
      <c r="B120" s="13"/>
      <c r="C120" s="19"/>
      <c r="D120" s="102"/>
      <c r="E120" s="57"/>
      <c r="F120" s="20"/>
      <c r="G120" s="58"/>
      <c r="I120" s="73"/>
      <c r="J120" s="20"/>
      <c r="K120" s="58"/>
    </row>
    <row r="121" spans="1:11" ht="12.75">
      <c r="A121" s="57"/>
      <c r="B121" s="13" t="s">
        <v>27</v>
      </c>
      <c r="C121" s="19"/>
      <c r="D121" s="102"/>
      <c r="E121" s="57"/>
      <c r="F121" s="20"/>
      <c r="G121" s="58"/>
      <c r="I121" s="73"/>
      <c r="J121" s="20"/>
      <c r="K121" s="58"/>
    </row>
    <row r="122" spans="1:11" ht="12.75">
      <c r="A122" s="57"/>
      <c r="B122" s="13"/>
      <c r="C122" s="19" t="s">
        <v>28</v>
      </c>
      <c r="D122" s="102"/>
      <c r="E122" s="57"/>
      <c r="F122" s="20"/>
      <c r="G122" s="58"/>
      <c r="I122" s="73"/>
      <c r="J122" s="20"/>
      <c r="K122" s="58"/>
    </row>
    <row r="123" spans="1:11" ht="12.75">
      <c r="A123" s="57"/>
      <c r="B123" s="13"/>
      <c r="C123" s="19"/>
      <c r="D123" s="102"/>
      <c r="E123" s="57"/>
      <c r="F123" s="66"/>
      <c r="G123" s="58"/>
      <c r="I123" s="73"/>
      <c r="J123" s="20"/>
      <c r="K123" s="58"/>
    </row>
    <row r="124" spans="1:11" ht="12.75">
      <c r="A124" s="57"/>
      <c r="B124" s="13"/>
      <c r="C124" s="16" t="s">
        <v>39</v>
      </c>
      <c r="D124" s="103"/>
      <c r="E124" s="65"/>
      <c r="F124" s="24">
        <f>SUM(F122:F123)</f>
        <v>0</v>
      </c>
      <c r="G124" s="77">
        <f>SUM(G122:G123)</f>
        <v>0</v>
      </c>
      <c r="H124" s="18"/>
      <c r="I124" s="86"/>
      <c r="J124" s="17">
        <f>SUM(J122:J123)</f>
        <v>0</v>
      </c>
      <c r="K124" s="34">
        <f>SUM(K122:K123)</f>
        <v>0</v>
      </c>
    </row>
    <row r="125" spans="1:11" ht="12.75">
      <c r="A125" s="57"/>
      <c r="B125" s="13"/>
      <c r="C125" s="19"/>
      <c r="D125" s="102"/>
      <c r="E125" s="57"/>
      <c r="F125" s="20"/>
      <c r="G125" s="58"/>
      <c r="I125" s="73"/>
      <c r="J125" s="20"/>
      <c r="K125" s="58"/>
    </row>
    <row r="126" spans="1:11" ht="12.75">
      <c r="A126" s="57"/>
      <c r="B126" s="13" t="s">
        <v>37</v>
      </c>
      <c r="C126" s="19"/>
      <c r="D126" s="102"/>
      <c r="E126" s="57"/>
      <c r="F126" s="20"/>
      <c r="G126" s="58"/>
      <c r="I126" s="73"/>
      <c r="J126" s="20"/>
      <c r="K126" s="58"/>
    </row>
    <row r="127" spans="1:11" ht="12.75">
      <c r="A127" s="57"/>
      <c r="B127" s="13"/>
      <c r="C127" s="19" t="s">
        <v>169</v>
      </c>
      <c r="D127" s="102"/>
      <c r="E127" s="122">
        <v>582</v>
      </c>
      <c r="F127" s="20"/>
      <c r="G127" s="58"/>
      <c r="I127" s="122">
        <v>249</v>
      </c>
      <c r="J127" s="20"/>
      <c r="K127" s="58"/>
    </row>
    <row r="128" spans="1:11" ht="12.75">
      <c r="A128" s="57"/>
      <c r="B128" s="13"/>
      <c r="C128" s="19" t="s">
        <v>170</v>
      </c>
      <c r="D128" s="102"/>
      <c r="E128" s="57"/>
      <c r="F128" s="20"/>
      <c r="G128" s="58">
        <f>E127+(E28-1)*(1-0.85)*E127</f>
        <v>931.2</v>
      </c>
      <c r="I128" s="73"/>
      <c r="J128" s="20"/>
      <c r="K128" s="58">
        <f>I127+(I39-1)*(1-0.85)*I127</f>
        <v>249</v>
      </c>
    </row>
    <row r="129" spans="1:11" ht="12.75">
      <c r="A129" s="57"/>
      <c r="B129" s="13"/>
      <c r="C129" s="19"/>
      <c r="D129" s="102"/>
      <c r="E129" s="57"/>
      <c r="F129" s="20"/>
      <c r="G129" s="58"/>
      <c r="I129" s="73"/>
      <c r="J129" s="20"/>
      <c r="K129" s="58"/>
    </row>
    <row r="130" spans="1:11" ht="12.75">
      <c r="A130" s="57"/>
      <c r="B130" s="13"/>
      <c r="C130" s="16" t="s">
        <v>38</v>
      </c>
      <c r="D130" s="103"/>
      <c r="E130" s="65"/>
      <c r="F130" s="17">
        <f>SUM(F127:F129)</f>
        <v>0</v>
      </c>
      <c r="G130" s="34">
        <f>SUM(G127:G129)</f>
        <v>931.2</v>
      </c>
      <c r="H130" s="18"/>
      <c r="I130" s="86"/>
      <c r="J130" s="17">
        <f>SUM(J127:J129)</f>
        <v>0</v>
      </c>
      <c r="K130" s="34">
        <f>SUM(K127:K129)</f>
        <v>249</v>
      </c>
    </row>
    <row r="131" spans="1:11" ht="12.75">
      <c r="A131" s="57"/>
      <c r="B131" s="13"/>
      <c r="C131" s="19"/>
      <c r="D131" s="102"/>
      <c r="E131" s="57"/>
      <c r="F131" s="20"/>
      <c r="G131" s="58"/>
      <c r="I131" s="73"/>
      <c r="J131" s="20"/>
      <c r="K131" s="58"/>
    </row>
    <row r="132" spans="1:11" ht="12.75">
      <c r="A132" s="57"/>
      <c r="B132" s="13" t="s">
        <v>297</v>
      </c>
      <c r="C132" s="19"/>
      <c r="D132" s="102"/>
      <c r="E132" s="57"/>
      <c r="F132" s="20"/>
      <c r="G132" s="58"/>
      <c r="I132" s="73"/>
      <c r="J132" s="20"/>
      <c r="K132" s="58"/>
    </row>
    <row r="133" spans="1:11" ht="12.75">
      <c r="A133" s="57"/>
      <c r="B133" s="13"/>
      <c r="C133" s="19" t="s">
        <v>43</v>
      </c>
      <c r="D133" s="102"/>
      <c r="E133" s="57"/>
      <c r="F133" s="20"/>
      <c r="G133" s="58"/>
      <c r="I133" s="73"/>
      <c r="J133" s="20"/>
      <c r="K133" s="58"/>
    </row>
    <row r="134" spans="1:11" ht="12.75">
      <c r="A134" s="57"/>
      <c r="B134" s="13"/>
      <c r="C134" s="19" t="s">
        <v>152</v>
      </c>
      <c r="D134" s="102"/>
      <c r="E134" s="57"/>
      <c r="F134" s="20"/>
      <c r="G134" s="58"/>
      <c r="I134" s="73"/>
      <c r="J134" s="20"/>
      <c r="K134" s="58"/>
    </row>
    <row r="135" spans="1:11" ht="12.75">
      <c r="A135" s="57"/>
      <c r="B135" s="13"/>
      <c r="C135" s="19"/>
      <c r="D135" s="102"/>
      <c r="E135" s="57"/>
      <c r="F135" s="20"/>
      <c r="G135" s="58"/>
      <c r="I135" s="73"/>
      <c r="J135" s="20"/>
      <c r="K135" s="58"/>
    </row>
    <row r="136" spans="1:11" ht="12.75">
      <c r="A136" s="57"/>
      <c r="B136" s="13"/>
      <c r="C136" s="16" t="s">
        <v>238</v>
      </c>
      <c r="D136" s="103"/>
      <c r="E136" s="65"/>
      <c r="F136" s="17">
        <f>SUM(F133:F135)</f>
        <v>0</v>
      </c>
      <c r="G136" s="34">
        <f>SUM(G133:G135)</f>
        <v>0</v>
      </c>
      <c r="H136" s="18"/>
      <c r="I136" s="86"/>
      <c r="J136" s="17">
        <f>SUM(J133:J135)</f>
        <v>0</v>
      </c>
      <c r="K136" s="34">
        <f>SUM(K133:K135)</f>
        <v>0</v>
      </c>
    </row>
    <row r="137" spans="1:11" ht="12.75">
      <c r="A137" s="78"/>
      <c r="B137" s="107"/>
      <c r="C137" s="26"/>
      <c r="D137" s="108"/>
      <c r="E137" s="78"/>
      <c r="F137" s="25"/>
      <c r="G137" s="79"/>
      <c r="I137" s="92"/>
      <c r="J137" s="25"/>
      <c r="K137" s="79"/>
    </row>
    <row r="138" spans="1:11" ht="12.75">
      <c r="A138" s="19"/>
      <c r="B138" s="13"/>
      <c r="C138" s="19"/>
      <c r="D138" s="19"/>
      <c r="E138" s="19"/>
      <c r="F138" s="20"/>
      <c r="G138" s="20"/>
      <c r="I138" s="110"/>
      <c r="J138" s="20"/>
      <c r="K138" s="20"/>
    </row>
    <row r="139" ht="12.75"/>
    <row r="140" spans="1:11" ht="15.75">
      <c r="A140" s="111" t="s">
        <v>244</v>
      </c>
      <c r="B140" s="112"/>
      <c r="C140" s="113"/>
      <c r="D140" s="113"/>
      <c r="E140" s="113"/>
      <c r="F140" s="114"/>
      <c r="G140" s="114"/>
      <c r="H140" s="115"/>
      <c r="I140" s="116"/>
      <c r="J140" s="117"/>
      <c r="K140" s="118"/>
    </row>
    <row r="141" spans="1:11" ht="15">
      <c r="A141" s="57"/>
      <c r="B141" s="13"/>
      <c r="C141" s="19"/>
      <c r="D141" s="19"/>
      <c r="E141" s="19"/>
      <c r="F141" s="132"/>
      <c r="G141" s="132" t="s">
        <v>256</v>
      </c>
      <c r="H141" s="138"/>
      <c r="I141" s="139"/>
      <c r="J141" s="132" t="s">
        <v>53</v>
      </c>
      <c r="K141" s="140" t="s">
        <v>246</v>
      </c>
    </row>
    <row r="142" spans="1:11" ht="12.75">
      <c r="A142" s="57"/>
      <c r="B142" s="13" t="s">
        <v>45</v>
      </c>
      <c r="C142" s="19"/>
      <c r="D142" s="19"/>
      <c r="E142" s="119">
        <v>0.15</v>
      </c>
      <c r="F142" s="20"/>
      <c r="G142" s="20"/>
      <c r="H142" s="21"/>
      <c r="I142" s="110"/>
      <c r="J142" s="20"/>
      <c r="K142" s="58"/>
    </row>
    <row r="143" spans="1:11" ht="12.75">
      <c r="A143" s="57"/>
      <c r="B143" s="13"/>
      <c r="C143" s="19" t="s">
        <v>47</v>
      </c>
      <c r="D143" s="19"/>
      <c r="E143" s="19"/>
      <c r="F143" s="20"/>
      <c r="G143" s="20"/>
      <c r="H143" s="21"/>
      <c r="I143" s="110"/>
      <c r="J143" s="20"/>
      <c r="K143" s="58"/>
    </row>
    <row r="144" spans="1:11" ht="12.75">
      <c r="A144" s="57"/>
      <c r="B144" s="13"/>
      <c r="C144" s="19"/>
      <c r="D144" s="19"/>
      <c r="E144" s="19"/>
      <c r="F144" s="20"/>
      <c r="G144" s="20"/>
      <c r="H144" s="21"/>
      <c r="I144" s="110"/>
      <c r="J144" s="20"/>
      <c r="K144" s="58"/>
    </row>
    <row r="145" spans="1:11" ht="12.75">
      <c r="A145" s="57"/>
      <c r="B145" s="13" t="s">
        <v>46</v>
      </c>
      <c r="C145" s="19"/>
      <c r="D145" s="19"/>
      <c r="E145" s="119">
        <v>0.38</v>
      </c>
      <c r="F145" s="20"/>
      <c r="G145" s="20"/>
      <c r="H145" s="21"/>
      <c r="I145" s="110"/>
      <c r="J145" s="20"/>
      <c r="K145" s="58"/>
    </row>
    <row r="146" spans="1:11" ht="12.75">
      <c r="A146" s="57"/>
      <c r="B146" s="13"/>
      <c r="C146" s="19"/>
      <c r="D146" s="19"/>
      <c r="E146" s="19"/>
      <c r="F146" s="20"/>
      <c r="G146" s="20"/>
      <c r="H146" s="21"/>
      <c r="I146" s="110"/>
      <c r="J146" s="20"/>
      <c r="K146" s="58"/>
    </row>
    <row r="147" spans="1:11" ht="12.75">
      <c r="A147" s="57"/>
      <c r="B147" s="13" t="s">
        <v>51</v>
      </c>
      <c r="C147" s="19"/>
      <c r="D147" s="19"/>
      <c r="E147" s="19"/>
      <c r="F147" s="20"/>
      <c r="G147" s="20"/>
      <c r="H147" s="21"/>
      <c r="I147" s="110"/>
      <c r="J147" s="20"/>
      <c r="K147" s="58"/>
    </row>
    <row r="148" spans="1:11" ht="12.75">
      <c r="A148" s="57"/>
      <c r="B148" s="13"/>
      <c r="C148" s="19" t="s">
        <v>66</v>
      </c>
      <c r="D148" s="19"/>
      <c r="E148" s="19">
        <v>5</v>
      </c>
      <c r="F148" s="20"/>
      <c r="G148" s="20"/>
      <c r="H148" s="21"/>
      <c r="I148" s="110"/>
      <c r="J148" s="20"/>
      <c r="K148" s="58"/>
    </row>
    <row r="149" spans="1:11" ht="12.75">
      <c r="A149" s="57"/>
      <c r="B149" s="13"/>
      <c r="C149" s="19" t="s">
        <v>298</v>
      </c>
      <c r="D149" s="19"/>
      <c r="E149" s="119">
        <f>WACC</f>
        <v>0.15</v>
      </c>
      <c r="F149" s="20"/>
      <c r="G149" s="20"/>
      <c r="H149" s="21"/>
      <c r="I149" s="110"/>
      <c r="J149" s="20"/>
      <c r="K149" s="58"/>
    </row>
    <row r="150" spans="1:11" ht="12.75">
      <c r="A150" s="57"/>
      <c r="B150" s="13"/>
      <c r="C150" s="19"/>
      <c r="D150" s="19"/>
      <c r="E150" s="19"/>
      <c r="F150" s="20"/>
      <c r="G150" s="20"/>
      <c r="H150" s="21"/>
      <c r="I150" s="110"/>
      <c r="J150" s="20"/>
      <c r="K150" s="58"/>
    </row>
    <row r="151" spans="1:11" ht="12.75">
      <c r="A151" s="57"/>
      <c r="B151" s="13" t="s">
        <v>111</v>
      </c>
      <c r="C151" s="19"/>
      <c r="D151" s="19"/>
      <c r="E151" s="19"/>
      <c r="F151" s="20"/>
      <c r="G151" s="20"/>
      <c r="H151" s="21"/>
      <c r="I151" s="110"/>
      <c r="J151" s="20"/>
      <c r="K151" s="58"/>
    </row>
    <row r="152" spans="1:11" ht="12.75">
      <c r="A152" s="57"/>
      <c r="B152" s="13"/>
      <c r="C152" s="19" t="s">
        <v>68</v>
      </c>
      <c r="D152" s="19"/>
      <c r="E152" s="19" t="s">
        <v>67</v>
      </c>
      <c r="F152" s="20"/>
      <c r="G152" s="20"/>
      <c r="H152" s="21"/>
      <c r="I152" s="110"/>
      <c r="J152" s="20"/>
      <c r="K152" s="58"/>
    </row>
    <row r="153" spans="1:11" ht="12.75">
      <c r="A153" s="57"/>
      <c r="B153" s="13"/>
      <c r="C153" s="19"/>
      <c r="D153" s="19"/>
      <c r="E153" s="19"/>
      <c r="F153" s="20"/>
      <c r="G153" s="20"/>
      <c r="H153" s="21"/>
      <c r="I153" s="110"/>
      <c r="J153" s="20"/>
      <c r="K153" s="67"/>
    </row>
    <row r="154" spans="1:11" ht="12.75">
      <c r="A154" s="57"/>
      <c r="B154" s="13"/>
      <c r="C154" s="19" t="s">
        <v>57</v>
      </c>
      <c r="D154" s="19"/>
      <c r="E154" s="19"/>
      <c r="F154" s="20"/>
      <c r="G154" s="20"/>
      <c r="H154" s="21"/>
      <c r="I154" s="110"/>
      <c r="J154" s="20"/>
      <c r="K154" s="58"/>
    </row>
    <row r="155" spans="1:11" ht="12.75">
      <c r="A155" s="57"/>
      <c r="B155" s="13"/>
      <c r="C155" s="19"/>
      <c r="D155" s="19" t="s">
        <v>6</v>
      </c>
      <c r="E155" s="31"/>
      <c r="F155" s="20"/>
      <c r="G155" s="20"/>
      <c r="H155" s="21"/>
      <c r="I155" s="110"/>
      <c r="J155" s="66"/>
      <c r="K155" s="58">
        <f>J46</f>
        <v>3000</v>
      </c>
    </row>
    <row r="156" spans="1:11" ht="12.75">
      <c r="A156" s="57"/>
      <c r="B156" s="13"/>
      <c r="C156" s="19"/>
      <c r="D156" s="19" t="s">
        <v>61</v>
      </c>
      <c r="E156" s="31"/>
      <c r="F156" s="20"/>
      <c r="G156" s="20"/>
      <c r="H156" s="21"/>
      <c r="I156" s="110"/>
      <c r="J156" s="20"/>
      <c r="K156" s="58">
        <f>J50</f>
        <v>163524</v>
      </c>
    </row>
    <row r="157" spans="1:11" ht="13.5" thickBot="1">
      <c r="A157" s="57"/>
      <c r="B157" s="13"/>
      <c r="C157" s="19"/>
      <c r="D157" s="19" t="s">
        <v>69</v>
      </c>
      <c r="E157" s="31"/>
      <c r="F157" s="20"/>
      <c r="G157" s="20">
        <v>0</v>
      </c>
      <c r="H157" s="21"/>
      <c r="I157" s="110"/>
      <c r="J157" s="20"/>
      <c r="K157" s="136">
        <f>K155+K156</f>
        <v>166524</v>
      </c>
    </row>
    <row r="158" spans="1:11" ht="13.5" thickTop="1">
      <c r="A158" s="57"/>
      <c r="B158" s="13"/>
      <c r="C158" s="19"/>
      <c r="D158" s="19"/>
      <c r="E158" s="19"/>
      <c r="F158" s="20"/>
      <c r="G158" s="20"/>
      <c r="H158" s="21"/>
      <c r="I158" s="110"/>
      <c r="J158" s="20"/>
      <c r="K158" s="58"/>
    </row>
    <row r="159" spans="1:11" ht="15">
      <c r="A159" s="57"/>
      <c r="B159" s="13"/>
      <c r="C159" s="19" t="s">
        <v>58</v>
      </c>
      <c r="D159" s="19"/>
      <c r="E159" s="19"/>
      <c r="F159" s="20"/>
      <c r="G159" s="135" t="s">
        <v>246</v>
      </c>
      <c r="H159" s="21"/>
      <c r="I159" s="110"/>
      <c r="J159" s="133" t="s">
        <v>247</v>
      </c>
      <c r="K159" s="134" t="s">
        <v>246</v>
      </c>
    </row>
    <row r="160" spans="1:11" ht="12.75">
      <c r="A160" s="57"/>
      <c r="B160" s="13"/>
      <c r="C160" s="19"/>
      <c r="D160" s="19" t="s">
        <v>59</v>
      </c>
      <c r="E160" s="31"/>
      <c r="F160" s="20"/>
      <c r="G160" s="20">
        <v>0</v>
      </c>
      <c r="H160" s="21"/>
      <c r="I160" s="110"/>
      <c r="J160" s="20">
        <f>J51</f>
        <v>13081.92</v>
      </c>
      <c r="K160" s="58"/>
    </row>
    <row r="161" spans="1:11" ht="12.75">
      <c r="A161" s="57"/>
      <c r="B161" s="13"/>
      <c r="C161" s="19"/>
      <c r="D161" s="19" t="s">
        <v>62</v>
      </c>
      <c r="E161" s="31"/>
      <c r="F161" s="20"/>
      <c r="G161" s="20">
        <f>G74</f>
        <v>24404.419440864</v>
      </c>
      <c r="H161" s="21"/>
      <c r="I161" s="110"/>
      <c r="J161" s="20"/>
      <c r="K161" s="58">
        <f>K74</f>
        <v>4492.19551670784</v>
      </c>
    </row>
    <row r="162" spans="1:11" ht="12.75">
      <c r="A162" s="57"/>
      <c r="B162" s="13"/>
      <c r="C162" s="19"/>
      <c r="D162" s="19" t="s">
        <v>63</v>
      </c>
      <c r="E162" s="31"/>
      <c r="F162" s="20"/>
      <c r="G162" s="20">
        <f>G94</f>
        <v>37500</v>
      </c>
      <c r="H162" s="21"/>
      <c r="I162" s="110"/>
      <c r="J162" s="20"/>
      <c r="K162" s="58">
        <f>K94</f>
        <v>9583.333333333334</v>
      </c>
    </row>
    <row r="163" spans="1:11" ht="12.75">
      <c r="A163" s="57"/>
      <c r="B163" s="13"/>
      <c r="C163" s="19"/>
      <c r="D163" s="19" t="s">
        <v>255</v>
      </c>
      <c r="E163" s="19"/>
      <c r="F163" s="20"/>
      <c r="G163" s="20">
        <f>G101</f>
        <v>64620</v>
      </c>
      <c r="H163" s="21"/>
      <c r="I163" s="110"/>
      <c r="J163" s="20"/>
      <c r="K163" s="58">
        <f>K101</f>
        <v>9168</v>
      </c>
    </row>
    <row r="164" spans="1:11" ht="12.75">
      <c r="A164" s="57"/>
      <c r="B164" s="13"/>
      <c r="C164" s="19"/>
      <c r="D164" s="19" t="s">
        <v>310</v>
      </c>
      <c r="E164" s="19"/>
      <c r="F164" s="20">
        <f>F119</f>
        <v>0</v>
      </c>
      <c r="G164" s="20"/>
      <c r="H164" s="21"/>
      <c r="I164" s="110"/>
      <c r="J164" s="20">
        <f>J119</f>
        <v>10000</v>
      </c>
      <c r="K164" s="58"/>
    </row>
    <row r="165" spans="1:11" ht="12.75">
      <c r="A165" s="57"/>
      <c r="B165" s="13"/>
      <c r="C165" s="19"/>
      <c r="D165" s="19" t="s">
        <v>65</v>
      </c>
      <c r="E165" s="19"/>
      <c r="F165" s="20"/>
      <c r="G165" s="20">
        <f>G124</f>
        <v>0</v>
      </c>
      <c r="H165" s="21"/>
      <c r="I165" s="110"/>
      <c r="J165" s="20"/>
      <c r="K165" s="58">
        <f>K124</f>
        <v>0</v>
      </c>
    </row>
    <row r="166" spans="1:11" ht="12.75">
      <c r="A166" s="57"/>
      <c r="B166" s="13"/>
      <c r="C166" s="19"/>
      <c r="D166" s="19" t="s">
        <v>36</v>
      </c>
      <c r="E166" s="19"/>
      <c r="F166" s="20"/>
      <c r="G166" s="20">
        <f>G130</f>
        <v>931.2</v>
      </c>
      <c r="H166" s="21"/>
      <c r="I166" s="110"/>
      <c r="J166" s="20"/>
      <c r="K166" s="58">
        <f>K130</f>
        <v>249</v>
      </c>
    </row>
    <row r="167" spans="1:11" ht="13.5" thickBot="1">
      <c r="A167" s="57"/>
      <c r="B167" s="13"/>
      <c r="C167" s="19"/>
      <c r="D167" s="16" t="s">
        <v>245</v>
      </c>
      <c r="E167" s="19"/>
      <c r="F167" s="20"/>
      <c r="G167" s="48">
        <f>SUM(G160:G166)</f>
        <v>127455.619440864</v>
      </c>
      <c r="H167" s="21"/>
      <c r="I167" s="110"/>
      <c r="J167" s="48">
        <f>SUM(J160:J166)</f>
        <v>23081.92</v>
      </c>
      <c r="K167" s="136">
        <f>SUM(K160:K166)</f>
        <v>23492.528850041173</v>
      </c>
    </row>
    <row r="168" spans="1:11" ht="13.5" thickTop="1">
      <c r="A168" s="57"/>
      <c r="B168" s="13"/>
      <c r="C168" s="19"/>
      <c r="D168" s="19"/>
      <c r="E168" s="19"/>
      <c r="F168" s="20"/>
      <c r="G168" s="20"/>
      <c r="H168" s="21"/>
      <c r="I168" s="110"/>
      <c r="J168" s="20"/>
      <c r="K168" s="58"/>
    </row>
    <row r="169" spans="1:11" ht="12.75">
      <c r="A169" s="57"/>
      <c r="B169" s="13"/>
      <c r="C169" s="19" t="s">
        <v>72</v>
      </c>
      <c r="D169" s="19"/>
      <c r="E169" s="19"/>
      <c r="F169" s="20"/>
      <c r="G169" s="20"/>
      <c r="H169" s="21"/>
      <c r="I169" s="110"/>
      <c r="J169" s="20"/>
      <c r="K169" s="58"/>
    </row>
    <row r="170" spans="1:11" ht="12.75">
      <c r="A170" s="57"/>
      <c r="B170" s="13"/>
      <c r="C170" s="19"/>
      <c r="D170" s="19" t="s">
        <v>3</v>
      </c>
      <c r="E170" s="20">
        <f>Salvage_Value</f>
        <v>25000</v>
      </c>
      <c r="F170" s="20"/>
      <c r="G170" s="20"/>
      <c r="H170" s="21"/>
      <c r="I170" s="110"/>
      <c r="J170" s="20"/>
      <c r="K170" s="58"/>
    </row>
    <row r="171" spans="1:11" ht="12.75">
      <c r="A171" s="57"/>
      <c r="B171" s="13"/>
      <c r="C171" s="19"/>
      <c r="D171" s="26" t="s">
        <v>70</v>
      </c>
      <c r="E171" s="25">
        <f>Book_Value</f>
        <v>0</v>
      </c>
      <c r="F171" s="20"/>
      <c r="G171" s="20"/>
      <c r="H171" s="21"/>
      <c r="I171" s="110"/>
      <c r="J171" s="20"/>
      <c r="K171" s="58"/>
    </row>
    <row r="172" spans="1:11" ht="13.5" thickBot="1">
      <c r="A172" s="57"/>
      <c r="B172" s="13"/>
      <c r="C172" s="19"/>
      <c r="D172" s="19" t="s">
        <v>71</v>
      </c>
      <c r="E172" s="48">
        <f>E170-E171</f>
        <v>25000</v>
      </c>
      <c r="F172" s="20"/>
      <c r="G172" s="20"/>
      <c r="H172" s="21"/>
      <c r="I172" s="110"/>
      <c r="J172" s="20"/>
      <c r="K172" s="58"/>
    </row>
    <row r="173" spans="1:11" ht="13.5" thickTop="1">
      <c r="A173" s="78"/>
      <c r="B173" s="107"/>
      <c r="C173" s="26"/>
      <c r="D173" s="26"/>
      <c r="E173" s="26"/>
      <c r="F173" s="25"/>
      <c r="G173" s="25"/>
      <c r="H173" s="33"/>
      <c r="I173" s="120"/>
      <c r="J173" s="25"/>
      <c r="K173" s="79"/>
    </row>
    <row r="176" spans="1:11" ht="15.75">
      <c r="A176" s="111" t="s">
        <v>265</v>
      </c>
      <c r="B176" s="112"/>
      <c r="C176" s="113"/>
      <c r="D176" s="113"/>
      <c r="E176" s="113"/>
      <c r="F176" s="114"/>
      <c r="G176" s="114"/>
      <c r="H176" s="115"/>
      <c r="I176" s="116"/>
      <c r="J176" s="117"/>
      <c r="K176" s="118"/>
    </row>
    <row r="178" ht="12.75">
      <c r="A178" t="s">
        <v>299</v>
      </c>
    </row>
    <row r="180" spans="4:5" ht="12.75">
      <c r="D180" t="s">
        <v>266</v>
      </c>
      <c r="E180" s="147">
        <f>Results!C50</f>
        <v>0.47490897254229736</v>
      </c>
    </row>
    <row r="181" spans="4:5" ht="12.75">
      <c r="D181" t="s">
        <v>128</v>
      </c>
      <c r="E181" s="8">
        <f>Results!C51</f>
        <v>137271.27674894073</v>
      </c>
    </row>
    <row r="187" spans="1:11" ht="15.75">
      <c r="A187" s="111" t="s">
        <v>300</v>
      </c>
      <c r="B187" s="112"/>
      <c r="C187" s="113"/>
      <c r="D187" s="113"/>
      <c r="E187" s="113"/>
      <c r="F187" s="114"/>
      <c r="G187" s="114"/>
      <c r="H187" s="115"/>
      <c r="I187" s="116"/>
      <c r="J187" s="117"/>
      <c r="K187" s="118"/>
    </row>
    <row r="192" spans="4:6" ht="12.75">
      <c r="D192" s="2" t="s">
        <v>301</v>
      </c>
      <c r="E192" s="152" t="s">
        <v>302</v>
      </c>
      <c r="F192" s="153" t="s">
        <v>303</v>
      </c>
    </row>
    <row r="193" spans="4:6" ht="12.75">
      <c r="D193" s="151" t="s">
        <v>317</v>
      </c>
      <c r="F193" s="150">
        <f>E180</f>
        <v>0.47490897254229736</v>
      </c>
    </row>
    <row r="194" spans="4:6" ht="12.75">
      <c r="D194" s="147">
        <v>0</v>
      </c>
      <c r="E194" s="8">
        <f>J55</f>
        <v>151605.92</v>
      </c>
      <c r="F194" s="150">
        <f t="dataTable" ref="F194:F197" dt2D="0" dtr="0" r1="J55"/>
        <v>0.47490897254229736</v>
      </c>
    </row>
    <row r="195" spans="4:6" ht="12.75">
      <c r="D195" s="147">
        <v>0.1</v>
      </c>
      <c r="E195" s="8">
        <f>E194*(1-D195)</f>
        <v>136445.328</v>
      </c>
      <c r="F195" s="150">
        <v>0.5314898473748829</v>
      </c>
    </row>
    <row r="196" spans="4:6" ht="12.75">
      <c r="D196" s="147">
        <v>0.2</v>
      </c>
      <c r="E196" s="8">
        <f>E195*(1-D196)</f>
        <v>109156.2624</v>
      </c>
      <c r="F196" s="150">
        <v>0.7357960808251508</v>
      </c>
    </row>
    <row r="197" spans="4:6" ht="12.75">
      <c r="D197" s="147">
        <v>0.3</v>
      </c>
      <c r="E197" s="8">
        <f>E196*(1-D197)</f>
        <v>76409.38368</v>
      </c>
      <c r="F197" s="150">
        <v>1.3285529368727425</v>
      </c>
    </row>
    <row r="199" spans="4:6" ht="12.75">
      <c r="D199" s="2" t="s">
        <v>305</v>
      </c>
      <c r="E199" s="152" t="s">
        <v>304</v>
      </c>
      <c r="F199" s="153" t="s">
        <v>303</v>
      </c>
    </row>
    <row r="200" ht="12.75">
      <c r="F200" s="150">
        <f>E180</f>
        <v>0.47490897254229736</v>
      </c>
    </row>
    <row r="201" spans="5:6" ht="12.75">
      <c r="E201" s="8">
        <v>120000</v>
      </c>
      <c r="F201" s="150">
        <f t="dataTable" ref="F201:F204" dt2D="0" dtr="0" r1="E85"/>
        <v>0.49553701880245726</v>
      </c>
    </row>
    <row r="202" spans="4:6" ht="12.75">
      <c r="D202" s="151" t="s">
        <v>307</v>
      </c>
      <c r="E202" s="8">
        <v>100000</v>
      </c>
      <c r="F202" s="150">
        <v>0.47490897254229736</v>
      </c>
    </row>
    <row r="203" spans="5:6" ht="12.75">
      <c r="E203" s="8">
        <v>80000</v>
      </c>
      <c r="F203" s="150">
        <v>0.4541111945468164</v>
      </c>
    </row>
    <row r="204" spans="5:6" ht="12.75">
      <c r="E204" s="8">
        <v>60000</v>
      </c>
      <c r="F204" s="150">
        <v>0.4331314917264791</v>
      </c>
    </row>
    <row r="206" spans="4:6" ht="12.75">
      <c r="D206" s="2" t="s">
        <v>306</v>
      </c>
      <c r="E206" s="152" t="s">
        <v>308</v>
      </c>
      <c r="F206" s="153" t="s">
        <v>303</v>
      </c>
    </row>
    <row r="207" ht="12.75">
      <c r="F207" s="150">
        <f>E180</f>
        <v>0.47490897254229736</v>
      </c>
    </row>
    <row r="208" spans="4:6" ht="12.75">
      <c r="D208" s="154" t="s">
        <v>307</v>
      </c>
      <c r="E208" s="149">
        <f>J119</f>
        <v>10000</v>
      </c>
      <c r="F208" s="150">
        <f t="dataTable" ref="F208:F212" dt2D="0" dtr="0" r1="J119"/>
        <v>0.47490897254229736</v>
      </c>
    </row>
    <row r="209" spans="4:6" ht="12.75">
      <c r="D209" s="147"/>
      <c r="E209" s="149">
        <v>25000</v>
      </c>
      <c r="F209" s="150">
        <v>0.43287590291868355</v>
      </c>
    </row>
    <row r="210" spans="4:6" ht="12.75">
      <c r="D210" s="147"/>
      <c r="E210" s="149">
        <v>50000</v>
      </c>
      <c r="F210" s="150">
        <v>0.3736759178750681</v>
      </c>
    </row>
    <row r="211" spans="4:6" ht="12.75">
      <c r="D211" s="147"/>
      <c r="E211" s="149">
        <v>75000</v>
      </c>
      <c r="F211" s="150">
        <v>0.3246323385870774</v>
      </c>
    </row>
    <row r="212" spans="5:6" ht="12.75">
      <c r="E212" s="149">
        <v>100000</v>
      </c>
      <c r="F212" s="150">
        <v>0.2831000442499936</v>
      </c>
    </row>
    <row r="215" spans="4:6" ht="12.75">
      <c r="D215" s="2" t="s">
        <v>311</v>
      </c>
      <c r="E215" s="152" t="s">
        <v>312</v>
      </c>
      <c r="F215" s="153" t="s">
        <v>303</v>
      </c>
    </row>
    <row r="216" ht="12.75">
      <c r="F216" s="150">
        <f>E180</f>
        <v>0.47490897254229736</v>
      </c>
    </row>
    <row r="217" spans="4:6" ht="12.75">
      <c r="D217" s="151" t="s">
        <v>307</v>
      </c>
      <c r="E217" s="149">
        <v>0</v>
      </c>
      <c r="F217" s="150">
        <f t="dataTable" ref="F217:F221" dt2D="0" dtr="0" r1="G136"/>
        <v>0.47490897254229736</v>
      </c>
    </row>
    <row r="218" spans="5:6" ht="12.75">
      <c r="E218" s="149">
        <f>E217+10000</f>
        <v>10000</v>
      </c>
      <c r="F218" s="150">
        <v>0.5468197775233241</v>
      </c>
    </row>
    <row r="219" spans="5:6" ht="12.75">
      <c r="E219" s="149">
        <f>E218+10000</f>
        <v>20000</v>
      </c>
      <c r="F219" s="150">
        <v>0.6170543207441961</v>
      </c>
    </row>
    <row r="220" spans="5:6" ht="12.75">
      <c r="E220" s="149">
        <f>E219+10000</f>
        <v>30000</v>
      </c>
      <c r="F220" s="150">
        <v>0.6859371955147116</v>
      </c>
    </row>
    <row r="221" spans="5:6" ht="12.75">
      <c r="E221" s="149">
        <f>E220+10000</f>
        <v>40000</v>
      </c>
      <c r="F221" s="150">
        <v>0.7537147504250533</v>
      </c>
    </row>
  </sheetData>
  <printOptions/>
  <pageMargins left="0.75" right="0.75" top="1" bottom="1" header="0.5" footer="0.5"/>
  <pageSetup fitToHeight="2" fitToWidth="1" horizontalDpi="600" verticalDpi="600" orientation="portrait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37.8515625" style="2" customWidth="1"/>
    <col min="3" max="8" width="9.7109375" style="8" bestFit="1" customWidth="1"/>
  </cols>
  <sheetData>
    <row r="1" spans="1:8" ht="18">
      <c r="A1" s="141" t="s">
        <v>110</v>
      </c>
      <c r="B1" s="4"/>
      <c r="C1" s="9"/>
      <c r="D1" s="9"/>
      <c r="E1" s="9"/>
      <c r="F1" s="9"/>
      <c r="G1" s="9"/>
      <c r="H1" s="9"/>
    </row>
    <row r="3" spans="1:8" ht="12.75">
      <c r="A3" s="4" t="s">
        <v>93</v>
      </c>
      <c r="B3" s="4"/>
      <c r="C3" s="37" t="s">
        <v>267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</row>
    <row r="5" ht="15.75">
      <c r="A5" s="38" t="s">
        <v>112</v>
      </c>
    </row>
    <row r="7" ht="12.75">
      <c r="A7" s="2" t="s">
        <v>0</v>
      </c>
    </row>
    <row r="8" spans="2:3" ht="12.75">
      <c r="B8" s="2" t="s">
        <v>6</v>
      </c>
      <c r="C8" s="8">
        <f>Assumptions!F46</f>
        <v>0</v>
      </c>
    </row>
    <row r="9" spans="2:3" ht="12.75">
      <c r="B9" s="2" t="s">
        <v>49</v>
      </c>
      <c r="C9" s="8">
        <f>Assumptions!F55</f>
        <v>0</v>
      </c>
    </row>
    <row r="10" spans="2:8" ht="12.75">
      <c r="B10" s="2" t="s">
        <v>156</v>
      </c>
      <c r="D10" s="8">
        <f>Assumptions!G74</f>
        <v>24404.419440864</v>
      </c>
      <c r="E10" s="8">
        <f aca="true" t="shared" si="0" ref="E10:H13">D10</f>
        <v>24404.419440864</v>
      </c>
      <c r="F10" s="8">
        <f t="shared" si="0"/>
        <v>24404.419440864</v>
      </c>
      <c r="G10" s="8">
        <f t="shared" si="0"/>
        <v>24404.419440864</v>
      </c>
      <c r="H10" s="8">
        <f t="shared" si="0"/>
        <v>24404.419440864</v>
      </c>
    </row>
    <row r="11" spans="2:8" ht="12.75">
      <c r="B11" s="2" t="s">
        <v>155</v>
      </c>
      <c r="D11" s="8">
        <f>Assumptions!G94</f>
        <v>37500</v>
      </c>
      <c r="E11" s="8">
        <f t="shared" si="0"/>
        <v>37500</v>
      </c>
      <c r="F11" s="8">
        <f t="shared" si="0"/>
        <v>37500</v>
      </c>
      <c r="G11" s="8">
        <f t="shared" si="0"/>
        <v>37500</v>
      </c>
      <c r="H11" s="8">
        <f t="shared" si="0"/>
        <v>37500</v>
      </c>
    </row>
    <row r="12" spans="2:8" ht="12.75">
      <c r="B12" s="2" t="s">
        <v>125</v>
      </c>
      <c r="D12" s="8">
        <f>Assumptions!G101</f>
        <v>64620</v>
      </c>
      <c r="E12" s="8">
        <f t="shared" si="0"/>
        <v>64620</v>
      </c>
      <c r="F12" s="8">
        <f t="shared" si="0"/>
        <v>64620</v>
      </c>
      <c r="G12" s="8">
        <f t="shared" si="0"/>
        <v>64620</v>
      </c>
      <c r="H12" s="8">
        <f t="shared" si="0"/>
        <v>64620</v>
      </c>
    </row>
    <row r="13" spans="2:8" ht="12.75">
      <c r="B13" s="2" t="s">
        <v>21</v>
      </c>
      <c r="D13" s="8">
        <f>Assumptions!G111</f>
        <v>42720.00000000004</v>
      </c>
      <c r="E13" s="8">
        <f t="shared" si="0"/>
        <v>42720.00000000004</v>
      </c>
      <c r="F13" s="8">
        <f t="shared" si="0"/>
        <v>42720.00000000004</v>
      </c>
      <c r="G13" s="8">
        <f t="shared" si="0"/>
        <v>42720.00000000004</v>
      </c>
      <c r="H13" s="8">
        <f t="shared" si="0"/>
        <v>42720.00000000004</v>
      </c>
    </row>
    <row r="14" spans="2:8" ht="12.75">
      <c r="B14" s="2" t="s">
        <v>97</v>
      </c>
      <c r="H14" s="8">
        <v>0</v>
      </c>
    </row>
    <row r="16" ht="12.75">
      <c r="A16" s="2" t="s">
        <v>24</v>
      </c>
    </row>
    <row r="17" spans="2:3" ht="12.75">
      <c r="B17" s="2" t="s">
        <v>29</v>
      </c>
      <c r="C17" s="8">
        <f>Assumptions!F119</f>
        <v>0</v>
      </c>
    </row>
    <row r="18" spans="2:8" ht="12.75">
      <c r="B18" s="2" t="s">
        <v>27</v>
      </c>
      <c r="D18" s="8">
        <f>Assumptions!G124</f>
        <v>0</v>
      </c>
      <c r="E18" s="8">
        <f aca="true" t="shared" si="1" ref="E18:H20">D18</f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2:8" ht="12.75">
      <c r="B19" s="2" t="s">
        <v>37</v>
      </c>
      <c r="D19" s="8">
        <f>Assumptions!G130</f>
        <v>931.2</v>
      </c>
      <c r="E19" s="8">
        <f t="shared" si="1"/>
        <v>931.2</v>
      </c>
      <c r="F19" s="8">
        <f t="shared" si="1"/>
        <v>931.2</v>
      </c>
      <c r="G19" s="8">
        <f t="shared" si="1"/>
        <v>931.2</v>
      </c>
      <c r="H19" s="8">
        <f t="shared" si="1"/>
        <v>931.2</v>
      </c>
    </row>
    <row r="20" spans="2:8" ht="12.75">
      <c r="B20" s="2" t="s">
        <v>42</v>
      </c>
      <c r="D20" s="8">
        <f>Assumptions!G136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</row>
    <row r="22" spans="1:8" ht="12.75">
      <c r="A22" s="29" t="s">
        <v>94</v>
      </c>
      <c r="B22" s="30"/>
      <c r="C22" s="17">
        <f aca="true" t="shared" si="2" ref="C22:H22">SUM(C8:C21)</f>
        <v>0</v>
      </c>
      <c r="D22" s="17">
        <f t="shared" si="2"/>
        <v>170175.61944086404</v>
      </c>
      <c r="E22" s="17">
        <f t="shared" si="2"/>
        <v>170175.61944086404</v>
      </c>
      <c r="F22" s="17">
        <f t="shared" si="2"/>
        <v>170175.61944086404</v>
      </c>
      <c r="G22" s="17">
        <f t="shared" si="2"/>
        <v>170175.61944086404</v>
      </c>
      <c r="H22" s="34">
        <f t="shared" si="2"/>
        <v>170175.61944086404</v>
      </c>
    </row>
    <row r="25" ht="15.75">
      <c r="A25" s="38" t="s">
        <v>111</v>
      </c>
    </row>
    <row r="27" ht="12.75">
      <c r="A27" s="2" t="s">
        <v>95</v>
      </c>
    </row>
    <row r="28" spans="2:8" ht="12.75">
      <c r="B28" s="39" t="s">
        <v>57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2:8" ht="12.75">
      <c r="B29" s="40" t="s">
        <v>96</v>
      </c>
      <c r="C29" s="25"/>
      <c r="D29" s="46"/>
      <c r="E29" s="46"/>
      <c r="F29" s="46"/>
      <c r="G29" s="46"/>
      <c r="H29" s="46"/>
    </row>
    <row r="30" spans="2:8" ht="12.75">
      <c r="B30" s="39" t="s">
        <v>95</v>
      </c>
      <c r="D30" s="8">
        <f>D28*D29</f>
        <v>0</v>
      </c>
      <c r="E30" s="8">
        <f>E28*E29</f>
        <v>0</v>
      </c>
      <c r="F30" s="8">
        <f>F28*F29</f>
        <v>0</v>
      </c>
      <c r="G30" s="8">
        <f>G28*G29</f>
        <v>0</v>
      </c>
      <c r="H30" s="8">
        <f>H28*H29</f>
        <v>0</v>
      </c>
    </row>
    <row r="31" ht="12.75">
      <c r="B31" s="39" t="s">
        <v>250</v>
      </c>
    </row>
    <row r="32" spans="2:8" ht="12.75">
      <c r="B32" s="40" t="s">
        <v>249</v>
      </c>
      <c r="C32" s="25"/>
      <c r="D32" s="25">
        <f>Assumptions!G167</f>
        <v>127455.619440864</v>
      </c>
      <c r="E32" s="25">
        <f>D32</f>
        <v>127455.619440864</v>
      </c>
      <c r="F32" s="25">
        <f>E32</f>
        <v>127455.619440864</v>
      </c>
      <c r="G32" s="25">
        <f>F32</f>
        <v>127455.619440864</v>
      </c>
      <c r="H32" s="25">
        <f>G32</f>
        <v>127455.619440864</v>
      </c>
    </row>
    <row r="33" spans="2:8" ht="12.75">
      <c r="B33" s="39" t="s">
        <v>98</v>
      </c>
      <c r="D33" s="20">
        <f>D30+D32</f>
        <v>127455.619440864</v>
      </c>
      <c r="E33" s="20">
        <f>E30+E32</f>
        <v>127455.619440864</v>
      </c>
      <c r="F33" s="20">
        <f>F30+F32</f>
        <v>127455.619440864</v>
      </c>
      <c r="G33" s="20">
        <f>G30+G32</f>
        <v>127455.619440864</v>
      </c>
      <c r="H33" s="20">
        <f>H30+H32</f>
        <v>127455.619440864</v>
      </c>
    </row>
    <row r="34" spans="2:8" ht="12.75">
      <c r="B34" s="41" t="s">
        <v>109</v>
      </c>
      <c r="C34" s="17"/>
      <c r="D34" s="17">
        <f>Corp_Tax_Rate*'Current Costs'!D33</f>
        <v>48433.135387528324</v>
      </c>
      <c r="E34" s="17">
        <f>Corp_Tax_Rate*'Current Costs'!E33</f>
        <v>48433.135387528324</v>
      </c>
      <c r="F34" s="17">
        <f>Corp_Tax_Rate*'Current Costs'!F33</f>
        <v>48433.135387528324</v>
      </c>
      <c r="G34" s="17">
        <f>Corp_Tax_Rate*'Current Costs'!G33</f>
        <v>48433.135387528324</v>
      </c>
      <c r="H34" s="17">
        <f>Corp_Tax_Rate*'Current Costs'!H33</f>
        <v>48433.135387528324</v>
      </c>
    </row>
    <row r="35" spans="2:8" ht="12.75">
      <c r="B35" s="47"/>
      <c r="C35" s="20"/>
      <c r="D35" s="20"/>
      <c r="E35" s="20"/>
      <c r="F35" s="20"/>
      <c r="G35" s="20"/>
      <c r="H35" s="20"/>
    </row>
    <row r="36" spans="1:8" ht="12.75">
      <c r="A36" s="2" t="s">
        <v>121</v>
      </c>
      <c r="B36" s="47"/>
      <c r="C36" s="20"/>
      <c r="D36" s="20"/>
      <c r="E36" s="20"/>
      <c r="F36" s="20"/>
      <c r="G36" s="20"/>
      <c r="H36" s="20"/>
    </row>
    <row r="37" spans="2:8" ht="12.75">
      <c r="B37" s="47"/>
      <c r="C37" s="20"/>
      <c r="D37" s="20"/>
      <c r="E37" s="20"/>
      <c r="F37" s="20"/>
      <c r="G37" s="20"/>
      <c r="H37" s="20"/>
    </row>
    <row r="38" spans="2:8" ht="12.75">
      <c r="B38" s="47"/>
      <c r="C38" s="20"/>
      <c r="D38" s="20"/>
      <c r="E38" s="20"/>
      <c r="F38" s="20"/>
      <c r="G38" s="20"/>
      <c r="H38" s="20"/>
    </row>
    <row r="40" ht="12.75">
      <c r="A40" s="2" t="s">
        <v>107</v>
      </c>
    </row>
    <row r="41" spans="2:8" ht="13.5" thickBot="1">
      <c r="B41" s="42" t="s">
        <v>108</v>
      </c>
      <c r="C41" s="43">
        <f aca="true" t="shared" si="3" ref="C41:H41">C22-C34</f>
        <v>0</v>
      </c>
      <c r="D41" s="43">
        <f t="shared" si="3"/>
        <v>121742.48405333572</v>
      </c>
      <c r="E41" s="43">
        <f t="shared" si="3"/>
        <v>121742.48405333572</v>
      </c>
      <c r="F41" s="43">
        <f t="shared" si="3"/>
        <v>121742.48405333572</v>
      </c>
      <c r="G41" s="43">
        <f t="shared" si="3"/>
        <v>121742.48405333572</v>
      </c>
      <c r="H41" s="43">
        <f t="shared" si="3"/>
        <v>121742.48405333572</v>
      </c>
    </row>
    <row r="42" ht="13.5" thickTop="1"/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C4" sqref="C4"/>
    </sheetView>
  </sheetViews>
  <sheetFormatPr defaultColWidth="9.140625" defaultRowHeight="12.75"/>
  <cols>
    <col min="2" max="2" width="35.00390625" style="0" bestFit="1" customWidth="1"/>
    <col min="3" max="3" width="9.7109375" style="0" bestFit="1" customWidth="1"/>
    <col min="4" max="8" width="12.28125" style="0" bestFit="1" customWidth="1"/>
  </cols>
  <sheetData>
    <row r="1" spans="1:8" ht="18">
      <c r="A1" s="141" t="s">
        <v>113</v>
      </c>
      <c r="B1" s="4"/>
      <c r="C1" s="7"/>
      <c r="D1" s="9"/>
      <c r="E1" s="9"/>
      <c r="F1" s="9"/>
      <c r="G1" s="9"/>
      <c r="H1" s="9"/>
    </row>
    <row r="2" spans="2:8" ht="12.75">
      <c r="B2" s="2"/>
      <c r="C2" s="6"/>
      <c r="D2" s="8"/>
      <c r="E2" s="8"/>
      <c r="F2" s="8"/>
      <c r="G2" s="8"/>
      <c r="H2" s="8"/>
    </row>
    <row r="3" spans="1:8" ht="12.75">
      <c r="A3" s="4" t="s">
        <v>93</v>
      </c>
      <c r="B3" s="4"/>
      <c r="C3" s="36" t="s">
        <v>267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</row>
    <row r="4" spans="2:8" ht="12.75">
      <c r="B4" s="2"/>
      <c r="C4" s="6"/>
      <c r="D4" s="8"/>
      <c r="E4" s="8"/>
      <c r="F4" s="8"/>
      <c r="G4" s="8"/>
      <c r="H4" s="8"/>
    </row>
    <row r="5" spans="1:8" ht="15.75">
      <c r="A5" s="38" t="s">
        <v>112</v>
      </c>
      <c r="B5" s="2"/>
      <c r="C5" s="6"/>
      <c r="D5" s="8"/>
      <c r="E5" s="8"/>
      <c r="F5" s="8"/>
      <c r="G5" s="8"/>
      <c r="H5" s="8"/>
    </row>
    <row r="6" spans="2:8" ht="12.75">
      <c r="B6" s="2"/>
      <c r="C6" s="6"/>
      <c r="D6" s="8"/>
      <c r="E6" s="8"/>
      <c r="F6" s="8"/>
      <c r="G6" s="8"/>
      <c r="H6" s="8"/>
    </row>
    <row r="7" spans="1:8" ht="12.75">
      <c r="A7" s="2" t="s">
        <v>0</v>
      </c>
      <c r="B7" s="2"/>
      <c r="C7" s="6"/>
      <c r="D7" s="8"/>
      <c r="E7" s="8"/>
      <c r="F7" s="8"/>
      <c r="G7" s="8"/>
      <c r="H7" s="8"/>
    </row>
    <row r="8" spans="2:8" ht="12.75">
      <c r="B8" s="2" t="s">
        <v>6</v>
      </c>
      <c r="C8" s="8">
        <f>Assumptions!J46</f>
        <v>3000</v>
      </c>
      <c r="D8" s="8"/>
      <c r="E8" s="8"/>
      <c r="F8" s="8"/>
      <c r="G8" s="8"/>
      <c r="H8" s="8"/>
    </row>
    <row r="9" spans="2:8" ht="12.75">
      <c r="B9" s="2" t="s">
        <v>49</v>
      </c>
      <c r="C9" s="8">
        <f>Assumptions!J55</f>
        <v>151605.92</v>
      </c>
      <c r="D9" s="8"/>
      <c r="E9" s="8"/>
      <c r="F9" s="8"/>
      <c r="G9" s="8"/>
      <c r="H9" s="8"/>
    </row>
    <row r="10" spans="2:8" ht="12.75">
      <c r="B10" s="2" t="s">
        <v>156</v>
      </c>
      <c r="C10" s="8"/>
      <c r="D10" s="8">
        <f>Assumptions!K74</f>
        <v>4492.19551670784</v>
      </c>
      <c r="E10" s="8">
        <f>D10</f>
        <v>4492.19551670784</v>
      </c>
      <c r="F10" s="8">
        <f aca="true" t="shared" si="0" ref="F10:H13">E10</f>
        <v>4492.19551670784</v>
      </c>
      <c r="G10" s="8">
        <f t="shared" si="0"/>
        <v>4492.19551670784</v>
      </c>
      <c r="H10" s="8">
        <f t="shared" si="0"/>
        <v>4492.19551670784</v>
      </c>
    </row>
    <row r="11" spans="2:8" ht="12.75">
      <c r="B11" s="2" t="s">
        <v>155</v>
      </c>
      <c r="C11" s="8"/>
      <c r="D11" s="8">
        <f>Assumptions!K94</f>
        <v>9583.333333333334</v>
      </c>
      <c r="E11" s="8">
        <f>D11</f>
        <v>9583.333333333334</v>
      </c>
      <c r="F11" s="8">
        <f t="shared" si="0"/>
        <v>9583.333333333334</v>
      </c>
      <c r="G11" s="8">
        <f t="shared" si="0"/>
        <v>9583.333333333334</v>
      </c>
      <c r="H11" s="8">
        <f t="shared" si="0"/>
        <v>9583.333333333334</v>
      </c>
    </row>
    <row r="12" spans="2:9" ht="12.75">
      <c r="B12" s="2" t="s">
        <v>125</v>
      </c>
      <c r="C12" s="8"/>
      <c r="D12" s="8">
        <v>0</v>
      </c>
      <c r="E12" s="8">
        <f>Assumptions!K101</f>
        <v>9168</v>
      </c>
      <c r="F12" s="8">
        <f t="shared" si="0"/>
        <v>9168</v>
      </c>
      <c r="G12" s="8">
        <f t="shared" si="0"/>
        <v>9168</v>
      </c>
      <c r="H12" s="8">
        <f t="shared" si="0"/>
        <v>9168</v>
      </c>
      <c r="I12" t="s">
        <v>126</v>
      </c>
    </row>
    <row r="13" spans="2:8" ht="12.75">
      <c r="B13" s="2" t="s">
        <v>21</v>
      </c>
      <c r="C13" s="8"/>
      <c r="D13" s="8">
        <f>Assumptions!K111</f>
        <v>32040.000000001215</v>
      </c>
      <c r="E13" s="8">
        <f>D13</f>
        <v>32040.000000001215</v>
      </c>
      <c r="F13" s="8">
        <f t="shared" si="0"/>
        <v>32040.000000001215</v>
      </c>
      <c r="G13" s="8">
        <f t="shared" si="0"/>
        <v>32040.000000001215</v>
      </c>
      <c r="H13" s="8">
        <f t="shared" si="0"/>
        <v>32040.000000001215</v>
      </c>
    </row>
    <row r="14" spans="2:9" ht="12.75">
      <c r="B14" s="2" t="s">
        <v>148</v>
      </c>
      <c r="C14" s="8"/>
      <c r="D14" s="8"/>
      <c r="E14" s="8"/>
      <c r="F14" s="8"/>
      <c r="G14" s="8"/>
      <c r="H14" s="45">
        <f>-(1-SUM(D29:H29))*D28</f>
        <v>-8732.500992000016</v>
      </c>
      <c r="I14" t="s">
        <v>149</v>
      </c>
    </row>
    <row r="15" spans="2:8" ht="12.75">
      <c r="B15" s="2"/>
      <c r="C15" s="8"/>
      <c r="D15" s="8"/>
      <c r="E15" s="8"/>
      <c r="F15" s="8"/>
      <c r="G15" s="8"/>
      <c r="H15" s="8"/>
    </row>
    <row r="16" spans="1:8" ht="12.75">
      <c r="A16" s="2" t="s">
        <v>24</v>
      </c>
      <c r="B16" s="2"/>
      <c r="C16" s="8"/>
      <c r="D16" s="8"/>
      <c r="E16" s="8"/>
      <c r="F16" s="8"/>
      <c r="G16" s="8"/>
      <c r="H16" s="8"/>
    </row>
    <row r="17" spans="2:8" ht="12.75">
      <c r="B17" s="2" t="s">
        <v>29</v>
      </c>
      <c r="C17" s="8">
        <f>Assumptions!J119</f>
        <v>10000</v>
      </c>
      <c r="D17" s="8"/>
      <c r="E17" s="8"/>
      <c r="F17" s="8"/>
      <c r="G17" s="8"/>
      <c r="H17" s="8"/>
    </row>
    <row r="18" spans="2:8" ht="12.75">
      <c r="B18" s="2" t="s">
        <v>27</v>
      </c>
      <c r="C18" s="8"/>
      <c r="D18" s="8">
        <f>Assumptions!K124</f>
        <v>0</v>
      </c>
      <c r="E18" s="8">
        <f aca="true" t="shared" si="1" ref="E18:H20">D18</f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2:8" ht="12.75">
      <c r="B19" s="2" t="s">
        <v>37</v>
      </c>
      <c r="C19" s="8"/>
      <c r="D19" s="8">
        <f>Assumptions!K130</f>
        <v>249</v>
      </c>
      <c r="E19" s="8">
        <f t="shared" si="1"/>
        <v>249</v>
      </c>
      <c r="F19" s="8">
        <f t="shared" si="1"/>
        <v>249</v>
      </c>
      <c r="G19" s="8">
        <f t="shared" si="1"/>
        <v>249</v>
      </c>
      <c r="H19" s="8">
        <f t="shared" si="1"/>
        <v>249</v>
      </c>
    </row>
    <row r="20" spans="2:8" ht="12.75">
      <c r="B20" s="2" t="s">
        <v>42</v>
      </c>
      <c r="C20" s="8"/>
      <c r="D20" s="8">
        <f>Assumptions!K136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</row>
    <row r="21" spans="2:8" ht="12.75">
      <c r="B21" s="2"/>
      <c r="C21" s="8"/>
      <c r="D21" s="8"/>
      <c r="E21" s="8"/>
      <c r="F21" s="8"/>
      <c r="G21" s="8"/>
      <c r="H21" s="8"/>
    </row>
    <row r="22" spans="1:8" ht="12.75">
      <c r="A22" s="29" t="s">
        <v>94</v>
      </c>
      <c r="B22" s="30"/>
      <c r="C22" s="17">
        <f aca="true" t="shared" si="2" ref="C22:H22">SUM(C8:C21)</f>
        <v>164605.92</v>
      </c>
      <c r="D22" s="17">
        <f t="shared" si="2"/>
        <v>46364.52885004239</v>
      </c>
      <c r="E22" s="17">
        <f t="shared" si="2"/>
        <v>55532.52885004239</v>
      </c>
      <c r="F22" s="17">
        <f t="shared" si="2"/>
        <v>55532.52885004239</v>
      </c>
      <c r="G22" s="17">
        <f t="shared" si="2"/>
        <v>55532.52885004239</v>
      </c>
      <c r="H22" s="34">
        <f t="shared" si="2"/>
        <v>46800.02785804238</v>
      </c>
    </row>
    <row r="23" spans="2:8" ht="12.75">
      <c r="B23" s="2"/>
      <c r="C23" s="6"/>
      <c r="D23" s="8"/>
      <c r="E23" s="8"/>
      <c r="F23" s="8"/>
      <c r="G23" s="8"/>
      <c r="H23" s="8"/>
    </row>
    <row r="24" spans="2:8" ht="12.75">
      <c r="B24" s="2"/>
      <c r="C24" s="6"/>
      <c r="D24" s="8"/>
      <c r="E24" s="8"/>
      <c r="F24" s="8"/>
      <c r="G24" s="8"/>
      <c r="H24" s="8"/>
    </row>
    <row r="25" spans="1:8" ht="15.75">
      <c r="A25" s="38" t="s">
        <v>111</v>
      </c>
      <c r="B25" s="2"/>
      <c r="C25" s="6"/>
      <c r="D25" s="8"/>
      <c r="E25" s="8"/>
      <c r="F25" s="8"/>
      <c r="G25" s="8"/>
      <c r="H25" s="8"/>
    </row>
    <row r="26" spans="2:8" ht="12.75">
      <c r="B26" s="2"/>
      <c r="C26" s="6"/>
      <c r="D26" s="8"/>
      <c r="E26" s="8"/>
      <c r="F26" s="8"/>
      <c r="G26" s="8"/>
      <c r="H26" s="8"/>
    </row>
    <row r="27" spans="1:8" ht="12.75">
      <c r="A27" s="2" t="s">
        <v>95</v>
      </c>
      <c r="B27" s="2"/>
      <c r="C27" s="6"/>
      <c r="D27" s="8"/>
      <c r="E27" s="8"/>
      <c r="F27" s="8"/>
      <c r="G27" s="8"/>
      <c r="H27" s="8"/>
    </row>
    <row r="28" spans="2:8" ht="12.75">
      <c r="B28" s="39" t="s">
        <v>57</v>
      </c>
      <c r="C28" s="6"/>
      <c r="D28" s="8">
        <f>C9</f>
        <v>151605.92</v>
      </c>
      <c r="E28" s="8">
        <f>D28</f>
        <v>151605.92</v>
      </c>
      <c r="F28" s="8">
        <f>E28</f>
        <v>151605.92</v>
      </c>
      <c r="G28" s="8">
        <f>F28</f>
        <v>151605.92</v>
      </c>
      <c r="H28" s="8">
        <f>G28</f>
        <v>151605.92</v>
      </c>
    </row>
    <row r="29" spans="2:8" ht="12.75">
      <c r="B29" s="40" t="s">
        <v>96</v>
      </c>
      <c r="C29" s="33"/>
      <c r="D29" s="35">
        <v>0.2</v>
      </c>
      <c r="E29" s="35">
        <v>0.32</v>
      </c>
      <c r="F29" s="35">
        <v>0.192</v>
      </c>
      <c r="G29" s="35">
        <v>0.1152</v>
      </c>
      <c r="H29" s="35">
        <v>0.1152</v>
      </c>
    </row>
    <row r="30" spans="2:8" ht="12.75">
      <c r="B30" s="39" t="s">
        <v>95</v>
      </c>
      <c r="C30" s="6"/>
      <c r="D30" s="8">
        <f>D28*D29</f>
        <v>30321.184000000005</v>
      </c>
      <c r="E30" s="8">
        <f>E28*E29</f>
        <v>48513.894400000005</v>
      </c>
      <c r="F30" s="8">
        <f>F28*F29</f>
        <v>29108.33664</v>
      </c>
      <c r="G30" s="8">
        <f>G28*G29</f>
        <v>17465.001984000002</v>
      </c>
      <c r="H30" s="8">
        <f>H28*H29</f>
        <v>17465.001984000002</v>
      </c>
    </row>
    <row r="31" spans="2:8" ht="12.75">
      <c r="B31" s="39" t="s">
        <v>248</v>
      </c>
      <c r="C31" s="6"/>
      <c r="D31" s="8">
        <f>Assumptions!J167</f>
        <v>23081.92</v>
      </c>
      <c r="E31" s="8"/>
      <c r="F31" s="8"/>
      <c r="G31" s="8"/>
      <c r="H31" s="8"/>
    </row>
    <row r="32" spans="2:8" ht="12.75">
      <c r="B32" s="40" t="s">
        <v>249</v>
      </c>
      <c r="C32" s="33"/>
      <c r="D32" s="25">
        <f>Assumptions!K167</f>
        <v>23492.528850041173</v>
      </c>
      <c r="E32" s="25">
        <f>D32</f>
        <v>23492.528850041173</v>
      </c>
      <c r="F32" s="25">
        <f>E32</f>
        <v>23492.528850041173</v>
      </c>
      <c r="G32" s="25">
        <f>F32</f>
        <v>23492.528850041173</v>
      </c>
      <c r="H32" s="25">
        <f>G32</f>
        <v>23492.528850041173</v>
      </c>
    </row>
    <row r="33" spans="2:8" ht="12.75">
      <c r="B33" s="39" t="s">
        <v>98</v>
      </c>
      <c r="C33" s="6"/>
      <c r="D33" s="20">
        <f>SUM(D30:D32)</f>
        <v>76895.63285004118</v>
      </c>
      <c r="E33" s="20">
        <f>SUM(E30:E32)</f>
        <v>72006.42325004117</v>
      </c>
      <c r="F33" s="20">
        <f>SUM(F30:F32)</f>
        <v>52600.86549004118</v>
      </c>
      <c r="G33" s="20">
        <f>SUM(G30:G32)</f>
        <v>40957.53083404117</v>
      </c>
      <c r="H33" s="20">
        <f>SUM(H30:H32)</f>
        <v>40957.53083404117</v>
      </c>
    </row>
    <row r="34" spans="2:8" ht="12.75">
      <c r="B34" s="41" t="s">
        <v>109</v>
      </c>
      <c r="C34" s="18"/>
      <c r="D34" s="17">
        <f>Corp_Tax_Rate*D33</f>
        <v>29220.340483015647</v>
      </c>
      <c r="E34" s="17">
        <f>Corp_Tax_Rate*E33</f>
        <v>27362.44083501565</v>
      </c>
      <c r="F34" s="17">
        <f>Corp_Tax_Rate*F33</f>
        <v>19988.328886215648</v>
      </c>
      <c r="G34" s="17">
        <f>Corp_Tax_Rate*G33</f>
        <v>15563.861716935646</v>
      </c>
      <c r="H34" s="17">
        <f>Corp_Tax_Rate*H33</f>
        <v>15563.861716935646</v>
      </c>
    </row>
    <row r="35" spans="2:8" ht="12.75">
      <c r="B35" s="47"/>
      <c r="C35" s="21"/>
      <c r="D35" s="44"/>
      <c r="E35" s="44"/>
      <c r="F35" s="44"/>
      <c r="G35" s="44"/>
      <c r="H35" s="44"/>
    </row>
    <row r="36" spans="1:8" ht="12.75">
      <c r="A36" s="2" t="s">
        <v>122</v>
      </c>
      <c r="B36" s="47"/>
      <c r="C36" s="21"/>
      <c r="D36" s="44"/>
      <c r="E36" s="44"/>
      <c r="F36" s="44"/>
      <c r="G36" s="44"/>
      <c r="H36" s="44"/>
    </row>
    <row r="37" spans="2:8" ht="12.75">
      <c r="B37" s="47" t="s">
        <v>121</v>
      </c>
      <c r="C37" s="21"/>
      <c r="D37" s="17">
        <f>Assumptions!E172</f>
        <v>25000</v>
      </c>
      <c r="E37" s="44"/>
      <c r="F37" s="44"/>
      <c r="G37" s="44"/>
      <c r="H37" s="44"/>
    </row>
    <row r="38" spans="2:8" ht="12.75">
      <c r="B38" s="41" t="s">
        <v>123</v>
      </c>
      <c r="C38" s="18"/>
      <c r="D38" s="17">
        <f>D37*Corp_Tax_Rate</f>
        <v>9500</v>
      </c>
      <c r="E38" s="44"/>
      <c r="F38" s="44"/>
      <c r="G38" s="44"/>
      <c r="H38" s="44"/>
    </row>
    <row r="39" spans="2:8" ht="12.75">
      <c r="B39" s="47"/>
      <c r="C39" s="21"/>
      <c r="D39" s="44"/>
      <c r="E39" s="44"/>
      <c r="F39" s="44"/>
      <c r="G39" s="44"/>
      <c r="H39" s="44"/>
    </row>
    <row r="40" spans="2:8" ht="12.75">
      <c r="B40" s="2"/>
      <c r="C40" s="6"/>
      <c r="D40" s="8"/>
      <c r="E40" s="8"/>
      <c r="F40" s="8"/>
      <c r="G40" s="8"/>
      <c r="H40" s="8"/>
    </row>
    <row r="41" spans="1:8" ht="15.75">
      <c r="A41" s="38" t="s">
        <v>107</v>
      </c>
      <c r="B41" s="2"/>
      <c r="C41" s="6"/>
      <c r="D41" s="8"/>
      <c r="E41" s="8"/>
      <c r="F41" s="8"/>
      <c r="G41" s="8"/>
      <c r="H41" s="8"/>
    </row>
    <row r="42" spans="2:8" ht="13.5" thickBot="1">
      <c r="B42" s="42" t="s">
        <v>124</v>
      </c>
      <c r="C42" s="43">
        <f>C22-C34</f>
        <v>164605.92</v>
      </c>
      <c r="D42" s="43">
        <f>D22-D34+D38</f>
        <v>26644.188367026745</v>
      </c>
      <c r="E42" s="43">
        <f>E22-E34</f>
        <v>28170.088015026744</v>
      </c>
      <c r="F42" s="43">
        <f>F22-F34</f>
        <v>35544.199963826744</v>
      </c>
      <c r="G42" s="43">
        <f>G22-G34</f>
        <v>39968.66713310675</v>
      </c>
      <c r="H42" s="43">
        <f>H22-H34</f>
        <v>31236.166141106733</v>
      </c>
    </row>
    <row r="43" spans="2:8" ht="13.5" thickTop="1">
      <c r="B43" s="2"/>
      <c r="C43" s="6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workbookViewId="0" topLeftCell="A33">
      <selection activeCell="A54" sqref="A54"/>
    </sheetView>
  </sheetViews>
  <sheetFormatPr defaultColWidth="9.140625" defaultRowHeight="12.75"/>
  <cols>
    <col min="1" max="1" width="3.7109375" style="0" customWidth="1"/>
    <col min="2" max="2" width="35.00390625" style="0" bestFit="1" customWidth="1"/>
    <col min="3" max="3" width="12.28125" style="0" bestFit="1" customWidth="1"/>
    <col min="4" max="8" width="10.28125" style="0" bestFit="1" customWidth="1"/>
  </cols>
  <sheetData>
    <row r="1" spans="1:8" ht="18">
      <c r="A1" s="141" t="s">
        <v>262</v>
      </c>
      <c r="B1" s="4"/>
      <c r="C1" s="9"/>
      <c r="D1" s="9"/>
      <c r="E1" s="9"/>
      <c r="F1" s="9"/>
      <c r="G1" s="9"/>
      <c r="H1" s="9"/>
    </row>
    <row r="2" spans="2:8" ht="12.75">
      <c r="B2" s="2" t="s">
        <v>261</v>
      </c>
      <c r="C2" s="8"/>
      <c r="D2" s="8"/>
      <c r="E2" s="8"/>
      <c r="F2" s="8"/>
      <c r="G2" s="8"/>
      <c r="H2" s="8"/>
    </row>
    <row r="3" spans="2:8" ht="12.75">
      <c r="B3" s="2" t="s">
        <v>314</v>
      </c>
      <c r="C3" s="8"/>
      <c r="D3" s="8"/>
      <c r="E3" s="8"/>
      <c r="F3" s="8"/>
      <c r="G3" s="8"/>
      <c r="H3" s="8"/>
    </row>
    <row r="4" spans="1:8" s="11" customFormat="1" ht="12.75">
      <c r="A4" s="93" t="s">
        <v>93</v>
      </c>
      <c r="B4" s="93"/>
      <c r="C4" s="37" t="s">
        <v>267</v>
      </c>
      <c r="D4" s="37">
        <v>1</v>
      </c>
      <c r="E4" s="37">
        <v>2</v>
      </c>
      <c r="F4" s="37">
        <v>3</v>
      </c>
      <c r="G4" s="37">
        <v>4</v>
      </c>
      <c r="H4" s="37">
        <v>5</v>
      </c>
    </row>
    <row r="5" spans="2:8" ht="12.75">
      <c r="B5" s="2"/>
      <c r="C5" s="8"/>
      <c r="D5" s="8"/>
      <c r="E5" s="8"/>
      <c r="F5" s="8"/>
      <c r="G5" s="8"/>
      <c r="H5" s="8"/>
    </row>
    <row r="6" spans="1:8" ht="15.75">
      <c r="A6" s="38" t="s">
        <v>114</v>
      </c>
      <c r="B6" s="2"/>
      <c r="C6" s="8"/>
      <c r="D6" s="8"/>
      <c r="E6" s="8"/>
      <c r="F6" s="8"/>
      <c r="G6" s="8"/>
      <c r="H6" s="8"/>
    </row>
    <row r="7" spans="2:8" ht="12.75">
      <c r="B7" s="2"/>
      <c r="C7" s="8"/>
      <c r="D7" s="8"/>
      <c r="E7" s="8"/>
      <c r="F7" s="8"/>
      <c r="G7" s="8"/>
      <c r="H7" s="8"/>
    </row>
    <row r="8" spans="1:8" ht="12.75">
      <c r="A8" s="2" t="s">
        <v>0</v>
      </c>
      <c r="B8" s="2"/>
      <c r="C8" s="8"/>
      <c r="D8" s="8"/>
      <c r="E8" s="8"/>
      <c r="F8" s="8"/>
      <c r="G8" s="8"/>
      <c r="H8" s="8"/>
    </row>
    <row r="9" spans="2:8" ht="12.75">
      <c r="B9" s="2" t="s">
        <v>6</v>
      </c>
      <c r="C9" s="8">
        <f>'Current Costs'!C8-'Consolidation Costs'!C8</f>
        <v>-3000</v>
      </c>
      <c r="D9" s="8">
        <f>'Current Costs'!D8-'Consolidation Costs'!D8</f>
        <v>0</v>
      </c>
      <c r="E9" s="8">
        <f>'Current Costs'!E8-'Consolidation Costs'!E8</f>
        <v>0</v>
      </c>
      <c r="F9" s="8">
        <f>'Current Costs'!F8-'Consolidation Costs'!F8</f>
        <v>0</v>
      </c>
      <c r="G9" s="8">
        <f>'Current Costs'!G8-'Consolidation Costs'!G8</f>
        <v>0</v>
      </c>
      <c r="H9" s="8">
        <f>'Current Costs'!H8-'Consolidation Costs'!H8</f>
        <v>0</v>
      </c>
    </row>
    <row r="10" spans="2:8" ht="12.75">
      <c r="B10" s="2" t="s">
        <v>49</v>
      </c>
      <c r="C10" s="8">
        <f>'Current Costs'!C9-'Consolidation Costs'!C9</f>
        <v>-151605.92</v>
      </c>
      <c r="D10" s="8">
        <f>'Current Costs'!D9-'Consolidation Costs'!D9</f>
        <v>0</v>
      </c>
      <c r="E10" s="8">
        <f>'Current Costs'!E9-'Consolidation Costs'!E9</f>
        <v>0</v>
      </c>
      <c r="F10" s="8">
        <f>'Current Costs'!F9-'Consolidation Costs'!F9</f>
        <v>0</v>
      </c>
      <c r="G10" s="8">
        <f>'Current Costs'!G9-'Consolidation Costs'!G9</f>
        <v>0</v>
      </c>
      <c r="H10" s="8">
        <f>'Current Costs'!H9-'Consolidation Costs'!H9</f>
        <v>0</v>
      </c>
    </row>
    <row r="11" spans="2:8" ht="12.75">
      <c r="B11" s="2" t="s">
        <v>156</v>
      </c>
      <c r="C11" s="8"/>
      <c r="D11" s="8">
        <f>'Current Costs'!D10-'Consolidation Costs'!D10</f>
        <v>19912.22392415616</v>
      </c>
      <c r="E11" s="8">
        <f>'Current Costs'!E10-'Consolidation Costs'!E10</f>
        <v>19912.22392415616</v>
      </c>
      <c r="F11" s="8">
        <f>'Current Costs'!F10-'Consolidation Costs'!F10</f>
        <v>19912.22392415616</v>
      </c>
      <c r="G11" s="8">
        <f>'Current Costs'!G10-'Consolidation Costs'!G10</f>
        <v>19912.22392415616</v>
      </c>
      <c r="H11" s="8">
        <f>'Current Costs'!H10-'Consolidation Costs'!H10</f>
        <v>19912.22392415616</v>
      </c>
    </row>
    <row r="12" spans="2:8" ht="12.75">
      <c r="B12" s="2" t="s">
        <v>155</v>
      </c>
      <c r="C12" s="8"/>
      <c r="D12" s="8">
        <f>'Current Costs'!D11-'Consolidation Costs'!D11</f>
        <v>27916.666666666664</v>
      </c>
      <c r="E12" s="8">
        <f>'Current Costs'!E11-'Consolidation Costs'!E11</f>
        <v>27916.666666666664</v>
      </c>
      <c r="F12" s="8">
        <f>'Current Costs'!F11-'Consolidation Costs'!F11</f>
        <v>27916.666666666664</v>
      </c>
      <c r="G12" s="8">
        <f>'Current Costs'!G11-'Consolidation Costs'!G11</f>
        <v>27916.666666666664</v>
      </c>
      <c r="H12" s="8">
        <f>'Current Costs'!H11-'Consolidation Costs'!H11</f>
        <v>27916.666666666664</v>
      </c>
    </row>
    <row r="13" spans="2:8" ht="12.75">
      <c r="B13" s="2" t="s">
        <v>125</v>
      </c>
      <c r="C13" s="8"/>
      <c r="D13" s="8">
        <f>'Current Costs'!D12-'Consolidation Costs'!D12</f>
        <v>64620</v>
      </c>
      <c r="E13" s="8">
        <f>'Current Costs'!E12-'Consolidation Costs'!E12</f>
        <v>55452</v>
      </c>
      <c r="F13" s="8">
        <f>'Current Costs'!F12-'Consolidation Costs'!F12</f>
        <v>55452</v>
      </c>
      <c r="G13" s="8">
        <f>'Current Costs'!G12-'Consolidation Costs'!G12</f>
        <v>55452</v>
      </c>
      <c r="H13" s="8">
        <f>'Current Costs'!H12-'Consolidation Costs'!H12</f>
        <v>55452</v>
      </c>
    </row>
    <row r="14" spans="2:8" ht="12.75">
      <c r="B14" s="2" t="s">
        <v>21</v>
      </c>
      <c r="C14" s="8"/>
      <c r="D14" s="8">
        <f>'Current Costs'!D13-'Consolidation Costs'!D13</f>
        <v>10679.999999998821</v>
      </c>
      <c r="E14" s="8">
        <f>'Current Costs'!E13-'Consolidation Costs'!E13</f>
        <v>10679.999999998821</v>
      </c>
      <c r="F14" s="8">
        <f>'Current Costs'!F13-'Consolidation Costs'!F13</f>
        <v>10679.999999998821</v>
      </c>
      <c r="G14" s="8">
        <f>'Current Costs'!G13-'Consolidation Costs'!G13</f>
        <v>10679.999999998821</v>
      </c>
      <c r="H14" s="8">
        <f>'Current Costs'!H13-'Consolidation Costs'!H13</f>
        <v>10679.999999998821</v>
      </c>
    </row>
    <row r="15" spans="2:8" ht="12.75">
      <c r="B15" s="2" t="s">
        <v>259</v>
      </c>
      <c r="C15" s="8">
        <f>'Current Costs'!C14-'Consolidation Costs'!C14</f>
        <v>0</v>
      </c>
      <c r="D15" s="8">
        <f>'Current Costs'!D14-'Consolidation Costs'!D14</f>
        <v>0</v>
      </c>
      <c r="E15" s="8">
        <f>'Current Costs'!E14-'Consolidation Costs'!E14</f>
        <v>0</v>
      </c>
      <c r="F15" s="8">
        <f>'Current Costs'!F14-'Consolidation Costs'!F14</f>
        <v>0</v>
      </c>
      <c r="G15" s="8">
        <f>'Current Costs'!G14-'Consolidation Costs'!G14</f>
        <v>0</v>
      </c>
      <c r="H15" s="8">
        <f>'Current Costs'!H14-'Consolidation Costs'!H14</f>
        <v>8732.500992000016</v>
      </c>
    </row>
    <row r="16" spans="2:8" ht="12.75">
      <c r="B16" s="2"/>
      <c r="C16" s="8"/>
      <c r="D16" s="8"/>
      <c r="E16" s="8"/>
      <c r="F16" s="8"/>
      <c r="G16" s="8"/>
      <c r="H16" s="8"/>
    </row>
    <row r="17" spans="1:8" ht="12.75">
      <c r="A17" s="2" t="s">
        <v>24</v>
      </c>
      <c r="B17" s="2"/>
      <c r="C17" s="8"/>
      <c r="D17" s="8"/>
      <c r="E17" s="8"/>
      <c r="F17" s="8"/>
      <c r="G17" s="8"/>
      <c r="H17" s="8"/>
    </row>
    <row r="18" spans="2:8" ht="12.75">
      <c r="B18" s="2" t="s">
        <v>29</v>
      </c>
      <c r="C18" s="8">
        <f>'Current Costs'!C17-'Consolidation Costs'!C17</f>
        <v>-10000</v>
      </c>
      <c r="D18" s="8"/>
      <c r="E18" s="8"/>
      <c r="F18" s="8"/>
      <c r="G18" s="8"/>
      <c r="H18" s="8"/>
    </row>
    <row r="19" spans="2:8" ht="12.75">
      <c r="B19" s="2" t="s">
        <v>27</v>
      </c>
      <c r="C19" s="8"/>
      <c r="D19" s="8">
        <f>'Current Costs'!D18-'Consolidation Costs'!D18</f>
        <v>0</v>
      </c>
      <c r="E19" s="8">
        <f>'Current Costs'!E18-'Consolidation Costs'!E18</f>
        <v>0</v>
      </c>
      <c r="F19" s="8">
        <f>'Current Costs'!F18-'Consolidation Costs'!F18</f>
        <v>0</v>
      </c>
      <c r="G19" s="8">
        <f>'Current Costs'!G18-'Consolidation Costs'!G18</f>
        <v>0</v>
      </c>
      <c r="H19" s="8">
        <f>'Current Costs'!H18-'Consolidation Costs'!H18</f>
        <v>0</v>
      </c>
    </row>
    <row r="20" spans="2:8" ht="12.75">
      <c r="B20" s="2" t="s">
        <v>37</v>
      </c>
      <c r="C20" s="8"/>
      <c r="D20" s="8">
        <f>'Current Costs'!D19-'Consolidation Costs'!D19</f>
        <v>682.2</v>
      </c>
      <c r="E20" s="8">
        <f>'Current Costs'!E19-'Consolidation Costs'!E19</f>
        <v>682.2</v>
      </c>
      <c r="F20" s="8">
        <f>'Current Costs'!F19-'Consolidation Costs'!F19</f>
        <v>682.2</v>
      </c>
      <c r="G20" s="8">
        <f>'Current Costs'!G19-'Consolidation Costs'!G19</f>
        <v>682.2</v>
      </c>
      <c r="H20" s="8">
        <f>'Current Costs'!H19-'Consolidation Costs'!H19</f>
        <v>682.2</v>
      </c>
    </row>
    <row r="21" spans="2:8" ht="12.75">
      <c r="B21" s="2" t="s">
        <v>42</v>
      </c>
      <c r="C21" s="8"/>
      <c r="D21" s="8">
        <f>'Current Costs'!D20-'Consolidation Costs'!D20</f>
        <v>0</v>
      </c>
      <c r="E21" s="8">
        <f>'Current Costs'!E20-'Consolidation Costs'!E20</f>
        <v>0</v>
      </c>
      <c r="F21" s="8">
        <f>'Current Costs'!F20-'Consolidation Costs'!F20</f>
        <v>0</v>
      </c>
      <c r="G21" s="8">
        <f>'Current Costs'!G20-'Consolidation Costs'!G20</f>
        <v>0</v>
      </c>
      <c r="H21" s="8">
        <f>'Current Costs'!H20-'Consolidation Costs'!H20</f>
        <v>0</v>
      </c>
    </row>
    <row r="22" spans="2:8" ht="12.75">
      <c r="B22" s="2"/>
      <c r="C22" s="8"/>
      <c r="D22" s="8"/>
      <c r="E22" s="8"/>
      <c r="F22" s="8"/>
      <c r="G22" s="8"/>
      <c r="H22" s="8"/>
    </row>
    <row r="23" spans="1:8" ht="12.75">
      <c r="A23" s="29" t="s">
        <v>116</v>
      </c>
      <c r="B23" s="30"/>
      <c r="C23" s="17">
        <f aca="true" t="shared" si="0" ref="C23:H23">SUM(C9:C21)</f>
        <v>-164605.92</v>
      </c>
      <c r="D23" s="17">
        <f t="shared" si="0"/>
        <v>123811.09059082164</v>
      </c>
      <c r="E23" s="17">
        <f t="shared" si="0"/>
        <v>114643.09059082164</v>
      </c>
      <c r="F23" s="17">
        <f t="shared" si="0"/>
        <v>114643.09059082164</v>
      </c>
      <c r="G23" s="17">
        <f t="shared" si="0"/>
        <v>114643.09059082164</v>
      </c>
      <c r="H23" s="17">
        <f t="shared" si="0"/>
        <v>123375.59158282165</v>
      </c>
    </row>
    <row r="24" spans="2:8" ht="12.75">
      <c r="B24" s="2"/>
      <c r="C24" s="8"/>
      <c r="D24" s="8"/>
      <c r="E24" s="8"/>
      <c r="F24" s="8"/>
      <c r="G24" s="8"/>
      <c r="H24" s="8"/>
    </row>
    <row r="25" spans="2:8" ht="12.75">
      <c r="B25" s="2"/>
      <c r="C25" s="8"/>
      <c r="D25" s="8"/>
      <c r="E25" s="8"/>
      <c r="F25" s="8"/>
      <c r="G25" s="8"/>
      <c r="H25" s="8"/>
    </row>
    <row r="26" spans="1:8" ht="15.75">
      <c r="A26" s="38" t="s">
        <v>115</v>
      </c>
      <c r="B26" s="2"/>
      <c r="C26" s="8"/>
      <c r="D26" s="8"/>
      <c r="E26" s="8"/>
      <c r="F26" s="8"/>
      <c r="G26" s="8"/>
      <c r="H26" s="8"/>
    </row>
    <row r="27" spans="2:8" ht="12.75">
      <c r="B27" s="2"/>
      <c r="C27" s="8"/>
      <c r="D27" s="8"/>
      <c r="E27" s="8"/>
      <c r="F27" s="8"/>
      <c r="G27" s="8"/>
      <c r="H27" s="8"/>
    </row>
    <row r="28" spans="1:8" ht="12.75">
      <c r="A28" s="2" t="s">
        <v>95</v>
      </c>
      <c r="B28" s="2"/>
      <c r="C28" s="8"/>
      <c r="D28" s="8"/>
      <c r="E28" s="8"/>
      <c r="F28" s="8"/>
      <c r="G28" s="8"/>
      <c r="H28" s="8"/>
    </row>
    <row r="29" spans="2:8" ht="12.75">
      <c r="B29" s="39" t="s">
        <v>57</v>
      </c>
      <c r="C29" s="8"/>
      <c r="D29" s="8"/>
      <c r="E29" s="8"/>
      <c r="F29" s="8"/>
      <c r="G29" s="8"/>
      <c r="H29" s="8"/>
    </row>
    <row r="30" spans="2:8" ht="12.75">
      <c r="B30" s="40" t="s">
        <v>96</v>
      </c>
      <c r="C30" s="8"/>
      <c r="D30" s="8"/>
      <c r="E30" s="8"/>
      <c r="F30" s="8"/>
      <c r="G30" s="8"/>
      <c r="H30" s="8"/>
    </row>
    <row r="31" spans="2:9" ht="12.75">
      <c r="B31" s="39" t="s">
        <v>95</v>
      </c>
      <c r="C31" s="8">
        <f>'Current Costs'!C30-'Consolidation Costs'!C30</f>
        <v>0</v>
      </c>
      <c r="D31" s="8">
        <f>'Current Costs'!D30-'Consolidation Costs'!D30</f>
        <v>-30321.184000000005</v>
      </c>
      <c r="E31" s="8">
        <f>'Current Costs'!E30-'Consolidation Costs'!E30</f>
        <v>-48513.894400000005</v>
      </c>
      <c r="F31" s="8">
        <f>'Current Costs'!F30-'Consolidation Costs'!F30</f>
        <v>-29108.33664</v>
      </c>
      <c r="G31" s="8">
        <f>'Current Costs'!G30-'Consolidation Costs'!G30</f>
        <v>-17465.001984000002</v>
      </c>
      <c r="H31" s="8">
        <f>'Current Costs'!H30-'Consolidation Costs'!H30</f>
        <v>-17465.001984000002</v>
      </c>
      <c r="I31" t="s">
        <v>153</v>
      </c>
    </row>
    <row r="32" spans="2:8" ht="12.75">
      <c r="B32" s="39" t="s">
        <v>309</v>
      </c>
      <c r="C32" s="8"/>
      <c r="D32" s="8">
        <f>'Current Costs'!D31-'Consolidation Costs'!D31</f>
        <v>-23081.92</v>
      </c>
      <c r="E32" s="8"/>
      <c r="F32" s="8"/>
      <c r="G32" s="8"/>
      <c r="H32" s="8"/>
    </row>
    <row r="33" spans="2:8" ht="12.75">
      <c r="B33" s="40" t="s">
        <v>249</v>
      </c>
      <c r="C33" s="25">
        <f>'Current Costs'!C32-'Consolidation Costs'!C32</f>
        <v>0</v>
      </c>
      <c r="D33" s="25">
        <f>'Current Costs'!D32-'Consolidation Costs'!D32</f>
        <v>103963.09059082283</v>
      </c>
      <c r="E33" s="25">
        <f>'Current Costs'!E32-'Consolidation Costs'!E32</f>
        <v>103963.09059082283</v>
      </c>
      <c r="F33" s="25">
        <f>'Current Costs'!F32-'Consolidation Costs'!F32</f>
        <v>103963.09059082283</v>
      </c>
      <c r="G33" s="25">
        <f>'Current Costs'!G32-'Consolidation Costs'!G32</f>
        <v>103963.09059082283</v>
      </c>
      <c r="H33" s="25">
        <f>'Current Costs'!H32-'Consolidation Costs'!H32</f>
        <v>103963.09059082283</v>
      </c>
    </row>
    <row r="34" spans="2:8" ht="12.75">
      <c r="B34" s="39" t="s">
        <v>98</v>
      </c>
      <c r="C34" s="8">
        <f>'Current Costs'!C33-'Consolidation Costs'!C33</f>
        <v>0</v>
      </c>
      <c r="D34" s="8">
        <f>'Current Costs'!D33-'Consolidation Costs'!D33</f>
        <v>50559.986590822824</v>
      </c>
      <c r="E34" s="8">
        <f>'Current Costs'!E33-'Consolidation Costs'!E33</f>
        <v>55449.196190822826</v>
      </c>
      <c r="F34" s="8">
        <f>'Current Costs'!F33-'Consolidation Costs'!F33</f>
        <v>74854.75395082282</v>
      </c>
      <c r="G34" s="8">
        <f>'Current Costs'!G33-'Consolidation Costs'!G33</f>
        <v>86498.08860682283</v>
      </c>
      <c r="H34" s="8">
        <f>'Current Costs'!H33-'Consolidation Costs'!H33</f>
        <v>86498.08860682283</v>
      </c>
    </row>
    <row r="35" spans="2:8" ht="12.75">
      <c r="B35" s="41" t="s">
        <v>109</v>
      </c>
      <c r="C35" s="17">
        <f>'Current Costs'!C34-'Consolidation Costs'!C34</f>
        <v>0</v>
      </c>
      <c r="D35" s="17">
        <f>'Current Costs'!D34-'Consolidation Costs'!D34</f>
        <v>19212.794904512677</v>
      </c>
      <c r="E35" s="17">
        <f>'Current Costs'!E34-'Consolidation Costs'!E34</f>
        <v>21070.694552512676</v>
      </c>
      <c r="F35" s="17">
        <f>'Current Costs'!F34-'Consolidation Costs'!F34</f>
        <v>28444.806501312676</v>
      </c>
      <c r="G35" s="17">
        <f>'Current Costs'!G34-'Consolidation Costs'!G34</f>
        <v>32869.27367059268</v>
      </c>
      <c r="H35" s="17">
        <f>'Current Costs'!H34-'Consolidation Costs'!H34</f>
        <v>32869.27367059268</v>
      </c>
    </row>
    <row r="36" spans="2:8" ht="12.75">
      <c r="B36" s="47"/>
      <c r="C36" s="20"/>
      <c r="D36" s="20"/>
      <c r="E36" s="20"/>
      <c r="F36" s="20"/>
      <c r="G36" s="20"/>
      <c r="H36" s="20"/>
    </row>
    <row r="37" spans="1:8" ht="12.75">
      <c r="A37" s="2" t="s">
        <v>122</v>
      </c>
      <c r="B37" s="47"/>
      <c r="C37" s="20"/>
      <c r="D37" s="20"/>
      <c r="E37" s="20"/>
      <c r="F37" s="20"/>
      <c r="G37" s="20"/>
      <c r="H37" s="20"/>
    </row>
    <row r="38" spans="2:8" ht="12.75">
      <c r="B38" s="47" t="s">
        <v>121</v>
      </c>
      <c r="C38" s="20"/>
      <c r="D38" s="20"/>
      <c r="E38" s="20"/>
      <c r="F38" s="20"/>
      <c r="G38" s="20"/>
      <c r="H38" s="20"/>
    </row>
    <row r="39" spans="2:8" ht="12.75">
      <c r="B39" s="41" t="s">
        <v>253</v>
      </c>
      <c r="C39" s="20"/>
      <c r="D39" s="25">
        <f>'Consolidation Costs'!D38</f>
        <v>9500</v>
      </c>
      <c r="E39" s="20"/>
      <c r="F39" s="20"/>
      <c r="G39" s="20"/>
      <c r="H39" s="20"/>
    </row>
    <row r="40" spans="2:8" ht="12.75">
      <c r="B40" s="2"/>
      <c r="C40" s="8"/>
      <c r="D40" s="8"/>
      <c r="E40" s="8"/>
      <c r="F40" s="8"/>
      <c r="G40" s="8"/>
      <c r="H40" s="8"/>
    </row>
    <row r="41" spans="1:8" ht="12.75">
      <c r="A41" s="2" t="s">
        <v>117</v>
      </c>
      <c r="B41" s="2"/>
      <c r="C41" s="8"/>
      <c r="D41" s="8"/>
      <c r="E41" s="8"/>
      <c r="F41" s="8"/>
      <c r="G41" s="8"/>
      <c r="H41" s="8"/>
    </row>
    <row r="42" spans="2:8" ht="13.5" thickBot="1">
      <c r="B42" s="42" t="s">
        <v>108</v>
      </c>
      <c r="C42" s="48">
        <f>C23-C35</f>
        <v>-164605.92</v>
      </c>
      <c r="D42" s="48">
        <f>D23-D35-D39</f>
        <v>95098.29568630896</v>
      </c>
      <c r="E42" s="48">
        <f>E23-E35</f>
        <v>93572.39603830896</v>
      </c>
      <c r="F42" s="48">
        <f>F23-F35</f>
        <v>86198.28408950896</v>
      </c>
      <c r="G42" s="48">
        <f>G23-G35</f>
        <v>81773.81692022896</v>
      </c>
      <c r="H42" s="48">
        <f>H23-H35</f>
        <v>90506.31791222897</v>
      </c>
    </row>
    <row r="43" ht="13.5" thickTop="1"/>
    <row r="47" spans="1:8" ht="15.75">
      <c r="A47" s="5" t="s">
        <v>316</v>
      </c>
      <c r="B47" s="137"/>
      <c r="C47" s="137"/>
      <c r="D47" s="137"/>
      <c r="E47" s="137"/>
      <c r="F47" s="137"/>
      <c r="G47" s="137"/>
      <c r="H47" s="137"/>
    </row>
    <row r="49" spans="1:8" ht="12.75">
      <c r="A49" s="131" t="s">
        <v>131</v>
      </c>
      <c r="B49" s="130"/>
      <c r="C49" s="16"/>
      <c r="D49" s="16"/>
      <c r="E49" s="16"/>
      <c r="F49" s="16"/>
      <c r="G49" s="16"/>
      <c r="H49" s="103"/>
    </row>
    <row r="50" spans="1:8" ht="12.75">
      <c r="A50" s="57"/>
      <c r="B50" s="127" t="s">
        <v>127</v>
      </c>
      <c r="C50" s="128">
        <f>IRR(C42:H42,8%)</f>
        <v>0.47490897254229736</v>
      </c>
      <c r="D50" s="19"/>
      <c r="E50" s="19"/>
      <c r="F50" s="19"/>
      <c r="G50" s="19"/>
      <c r="H50" s="102"/>
    </row>
    <row r="51" spans="1:8" ht="12.75">
      <c r="A51" s="57"/>
      <c r="B51" s="127" t="s">
        <v>128</v>
      </c>
      <c r="C51" s="129">
        <f>NPV(Assumptions!E149,D42:H42)+C42</f>
        <v>137271.27674894073</v>
      </c>
      <c r="D51" s="19" t="s">
        <v>239</v>
      </c>
      <c r="E51" s="126">
        <f>WACC</f>
        <v>0.15</v>
      </c>
      <c r="F51" s="19"/>
      <c r="G51" s="19"/>
      <c r="H51" s="102"/>
    </row>
    <row r="52" spans="1:8" ht="12.75">
      <c r="A52" s="78"/>
      <c r="B52" s="26"/>
      <c r="C52" s="26"/>
      <c r="D52" s="26"/>
      <c r="E52" s="35"/>
      <c r="F52" s="26"/>
      <c r="G52" s="26"/>
      <c r="H52" s="108"/>
    </row>
    <row r="54" ht="12.75">
      <c r="A54" t="s">
        <v>315</v>
      </c>
    </row>
  </sheetData>
  <printOptions/>
  <pageMargins left="0.75" right="0.75" top="1" bottom="1" header="0.5" footer="0.5"/>
  <pageSetup fitToHeight="1" fitToWidth="1"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H23" sqref="H23"/>
    </sheetView>
  </sheetViews>
  <sheetFormatPr defaultColWidth="9.140625" defaultRowHeight="12.75"/>
  <cols>
    <col min="1" max="1" width="3.57421875" style="0" customWidth="1"/>
    <col min="2" max="2" width="4.7109375" style="0" customWidth="1"/>
  </cols>
  <sheetData>
    <row r="2" ht="12.75">
      <c r="A2" t="s">
        <v>157</v>
      </c>
    </row>
    <row r="3" ht="12.75">
      <c r="A3" t="s">
        <v>164</v>
      </c>
    </row>
    <row r="4" ht="12.75">
      <c r="A4" t="s">
        <v>158</v>
      </c>
    </row>
    <row r="7" spans="2:3" ht="12.75">
      <c r="B7">
        <v>1</v>
      </c>
      <c r="C7" t="s">
        <v>159</v>
      </c>
    </row>
    <row r="8" spans="2:3" ht="12.75">
      <c r="B8">
        <v>2</v>
      </c>
      <c r="C8" t="s">
        <v>160</v>
      </c>
    </row>
    <row r="9" ht="12.75">
      <c r="C9" t="s">
        <v>161</v>
      </c>
    </row>
    <row r="10" spans="2:3" ht="12.75">
      <c r="B10">
        <v>3</v>
      </c>
      <c r="C10" t="s">
        <v>162</v>
      </c>
    </row>
    <row r="11" ht="12.75">
      <c r="C11" t="s">
        <v>163</v>
      </c>
    </row>
    <row r="12" spans="2:3" ht="12.75">
      <c r="B12">
        <v>4</v>
      </c>
      <c r="C12" t="s">
        <v>251</v>
      </c>
    </row>
    <row r="13" ht="12.75">
      <c r="C13" t="s">
        <v>252</v>
      </c>
    </row>
    <row r="14" spans="2:3" ht="12.75">
      <c r="B14">
        <v>5</v>
      </c>
      <c r="C14" t="s">
        <v>165</v>
      </c>
    </row>
    <row r="15" spans="2:3" ht="12.75">
      <c r="B15">
        <v>6</v>
      </c>
      <c r="C15" t="s">
        <v>166</v>
      </c>
    </row>
    <row r="16" ht="12.75">
      <c r="C16" t="s">
        <v>167</v>
      </c>
    </row>
    <row r="17" ht="12.75">
      <c r="C17" t="s">
        <v>168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C8" sqref="C8"/>
    </sheetView>
  </sheetViews>
  <sheetFormatPr defaultColWidth="9.140625" defaultRowHeight="12.75"/>
  <sheetData>
    <row r="1" ht="15.75">
      <c r="A1" s="125" t="s">
        <v>236</v>
      </c>
    </row>
    <row r="4" ht="12.75">
      <c r="A4" t="s">
        <v>232</v>
      </c>
    </row>
    <row r="5" ht="12.75">
      <c r="A5" t="s">
        <v>235</v>
      </c>
    </row>
    <row r="6" ht="12.75">
      <c r="A6" t="s">
        <v>233</v>
      </c>
    </row>
    <row r="8" spans="2:3" ht="12.75">
      <c r="B8" s="2" t="s">
        <v>176</v>
      </c>
      <c r="C8" s="2" t="s">
        <v>234</v>
      </c>
    </row>
    <row r="9" spans="2:3" ht="12.75">
      <c r="B9" t="s">
        <v>177</v>
      </c>
      <c r="C9">
        <v>1.8</v>
      </c>
    </row>
    <row r="10" spans="2:3" ht="12.75">
      <c r="B10" t="s">
        <v>178</v>
      </c>
      <c r="C10">
        <v>2.6</v>
      </c>
    </row>
    <row r="11" spans="2:3" ht="12.75">
      <c r="B11" t="s">
        <v>179</v>
      </c>
      <c r="C11">
        <v>1</v>
      </c>
    </row>
    <row r="12" spans="2:3" ht="12.75">
      <c r="B12" t="s">
        <v>180</v>
      </c>
      <c r="C12">
        <v>1</v>
      </c>
    </row>
    <row r="13" spans="2:3" ht="12.75">
      <c r="B13" t="s">
        <v>181</v>
      </c>
      <c r="C13">
        <v>1</v>
      </c>
    </row>
    <row r="14" spans="2:3" ht="12.75">
      <c r="B14" t="s">
        <v>182</v>
      </c>
      <c r="C14">
        <v>0.5</v>
      </c>
    </row>
    <row r="15" spans="2:3" ht="12.75">
      <c r="B15" t="s">
        <v>183</v>
      </c>
      <c r="C15">
        <v>1.5</v>
      </c>
    </row>
    <row r="16" spans="2:3" ht="12.75">
      <c r="B16" t="s">
        <v>184</v>
      </c>
      <c r="C16">
        <v>2</v>
      </c>
    </row>
    <row r="17" spans="2:3" ht="12.75">
      <c r="B17" t="s">
        <v>185</v>
      </c>
      <c r="C17">
        <v>4.3</v>
      </c>
    </row>
    <row r="18" spans="2:3" ht="12.75">
      <c r="B18" t="s">
        <v>186</v>
      </c>
      <c r="C18">
        <v>4.4</v>
      </c>
    </row>
    <row r="19" spans="2:3" ht="12.75">
      <c r="B19" t="s">
        <v>187</v>
      </c>
      <c r="C19">
        <v>7</v>
      </c>
    </row>
    <row r="20" spans="2:3" ht="12.75">
      <c r="B20" t="s">
        <v>188</v>
      </c>
      <c r="C20">
        <v>10.9</v>
      </c>
    </row>
    <row r="21" spans="2:3" ht="12.75">
      <c r="B21" t="s">
        <v>189</v>
      </c>
      <c r="C21">
        <v>2</v>
      </c>
    </row>
    <row r="22" spans="2:3" ht="12.75">
      <c r="B22" t="s">
        <v>190</v>
      </c>
      <c r="C22">
        <v>2.2</v>
      </c>
    </row>
    <row r="23" spans="2:3" ht="12.75">
      <c r="B23" t="s">
        <v>191</v>
      </c>
      <c r="C23">
        <v>3.2</v>
      </c>
    </row>
    <row r="24" spans="2:3" ht="12.75">
      <c r="B24" t="s">
        <v>192</v>
      </c>
      <c r="C24">
        <v>3.9</v>
      </c>
    </row>
    <row r="25" spans="2:3" ht="12.75">
      <c r="B25" t="s">
        <v>193</v>
      </c>
      <c r="C25">
        <v>4.5</v>
      </c>
    </row>
    <row r="26" spans="2:3" ht="12.75">
      <c r="B26" t="s">
        <v>194</v>
      </c>
      <c r="C26">
        <v>5.8</v>
      </c>
    </row>
    <row r="27" spans="2:3" ht="12.75">
      <c r="B27" t="s">
        <v>195</v>
      </c>
      <c r="C27">
        <v>4.4</v>
      </c>
    </row>
    <row r="28" spans="2:3" ht="12.75">
      <c r="B28" t="s">
        <v>196</v>
      </c>
      <c r="C28">
        <v>12.1</v>
      </c>
    </row>
    <row r="29" spans="2:3" ht="12.75">
      <c r="B29" t="s">
        <v>197</v>
      </c>
      <c r="C29">
        <v>19.2</v>
      </c>
    </row>
    <row r="30" spans="2:3" ht="12.75">
      <c r="B30" t="s">
        <v>198</v>
      </c>
      <c r="C30">
        <v>28.5</v>
      </c>
    </row>
    <row r="31" spans="2:3" ht="12.75">
      <c r="B31" t="s">
        <v>199</v>
      </c>
      <c r="C31">
        <v>4</v>
      </c>
    </row>
    <row r="32" spans="2:3" ht="12.75">
      <c r="B32" t="s">
        <v>200</v>
      </c>
      <c r="C32">
        <v>4</v>
      </c>
    </row>
    <row r="33" spans="2:3" ht="12.75">
      <c r="B33" t="s">
        <v>201</v>
      </c>
      <c r="C33">
        <v>4</v>
      </c>
    </row>
    <row r="34" spans="2:3" ht="12.75">
      <c r="B34" t="s">
        <v>202</v>
      </c>
      <c r="C34">
        <v>1.5</v>
      </c>
    </row>
    <row r="35" spans="2:3" ht="12.75">
      <c r="B35" t="s">
        <v>203</v>
      </c>
      <c r="C35">
        <v>4.4</v>
      </c>
    </row>
    <row r="36" spans="2:3" ht="12.75">
      <c r="B36" t="s">
        <v>204</v>
      </c>
      <c r="C36">
        <v>4.5</v>
      </c>
    </row>
    <row r="37" spans="2:3" ht="12.75">
      <c r="B37" t="s">
        <v>205</v>
      </c>
      <c r="C37">
        <v>4.9</v>
      </c>
    </row>
    <row r="38" spans="2:3" ht="12.75">
      <c r="B38" t="s">
        <v>206</v>
      </c>
      <c r="C38">
        <v>12.1</v>
      </c>
    </row>
    <row r="39" spans="2:3" ht="12.75">
      <c r="B39" t="s">
        <v>207</v>
      </c>
      <c r="C39">
        <v>12.1</v>
      </c>
    </row>
    <row r="40" spans="2:3" ht="12.75">
      <c r="B40" t="s">
        <v>208</v>
      </c>
      <c r="C40">
        <v>19.2</v>
      </c>
    </row>
    <row r="41" spans="2:3" ht="12.75">
      <c r="B41" t="s">
        <v>209</v>
      </c>
      <c r="C41">
        <v>30.6</v>
      </c>
    </row>
    <row r="42" spans="2:3" ht="12.75">
      <c r="B42" t="s">
        <v>210</v>
      </c>
      <c r="C42">
        <v>60.5</v>
      </c>
    </row>
    <row r="43" spans="2:3" ht="12.75">
      <c r="B43" t="s">
        <v>211</v>
      </c>
      <c r="C43">
        <v>113.8</v>
      </c>
    </row>
    <row r="44" spans="2:3" ht="12.75">
      <c r="B44" t="s">
        <v>212</v>
      </c>
      <c r="C44">
        <v>2.5</v>
      </c>
    </row>
    <row r="45" spans="2:3" ht="12.75">
      <c r="B45" t="s">
        <v>213</v>
      </c>
      <c r="C45">
        <v>4.7</v>
      </c>
    </row>
    <row r="46" spans="2:3" ht="12.75">
      <c r="B46" t="s">
        <v>214</v>
      </c>
      <c r="C46">
        <v>4.7</v>
      </c>
    </row>
    <row r="47" spans="2:3" ht="12.75">
      <c r="B47" t="s">
        <v>215</v>
      </c>
      <c r="C47">
        <v>5.2</v>
      </c>
    </row>
    <row r="48" spans="2:3" ht="12.75">
      <c r="B48" t="s">
        <v>216</v>
      </c>
      <c r="C48">
        <v>32.8</v>
      </c>
    </row>
    <row r="49" spans="2:3" ht="12.75">
      <c r="B49" t="s">
        <v>217</v>
      </c>
      <c r="C49">
        <v>4.2</v>
      </c>
    </row>
    <row r="50" spans="2:3" ht="12.75">
      <c r="B50" t="s">
        <v>218</v>
      </c>
      <c r="C50">
        <v>32.8</v>
      </c>
    </row>
    <row r="51" spans="2:3" ht="12.75">
      <c r="B51" t="s">
        <v>219</v>
      </c>
      <c r="C51">
        <v>56.7</v>
      </c>
    </row>
    <row r="52" spans="2:3" ht="12.75">
      <c r="B52" t="s">
        <v>220</v>
      </c>
      <c r="C52">
        <v>3.9</v>
      </c>
    </row>
    <row r="53" spans="2:3" ht="12.75">
      <c r="B53" t="s">
        <v>221</v>
      </c>
      <c r="C53">
        <v>6</v>
      </c>
    </row>
    <row r="54" spans="2:3" ht="12.75">
      <c r="B54" t="s">
        <v>222</v>
      </c>
      <c r="C54">
        <v>5.2</v>
      </c>
    </row>
    <row r="55" spans="2:3" ht="12.75">
      <c r="B55" t="s">
        <v>223</v>
      </c>
      <c r="C55">
        <v>21</v>
      </c>
    </row>
    <row r="56" spans="2:3" ht="12.75">
      <c r="B56" t="s">
        <v>224</v>
      </c>
      <c r="C56">
        <v>1.5</v>
      </c>
    </row>
    <row r="57" spans="2:3" ht="12.75">
      <c r="B57" t="s">
        <v>225</v>
      </c>
      <c r="C57">
        <v>1.9</v>
      </c>
    </row>
    <row r="58" spans="2:3" ht="12.75">
      <c r="B58" t="s">
        <v>226</v>
      </c>
      <c r="C58">
        <v>2.1</v>
      </c>
    </row>
    <row r="59" spans="2:3" ht="12.75">
      <c r="B59" t="s">
        <v>227</v>
      </c>
      <c r="C59">
        <v>5.8</v>
      </c>
    </row>
    <row r="60" spans="2:3" ht="12.75">
      <c r="B60" t="s">
        <v>228</v>
      </c>
      <c r="C60">
        <v>30.6</v>
      </c>
    </row>
    <row r="61" spans="2:3" ht="12.75">
      <c r="B61" t="s">
        <v>229</v>
      </c>
      <c r="C61">
        <v>32.8</v>
      </c>
    </row>
    <row r="62" spans="2:3" ht="12.75">
      <c r="B62" t="s">
        <v>230</v>
      </c>
      <c r="C62">
        <v>32.8</v>
      </c>
    </row>
    <row r="63" spans="2:3" ht="12.75">
      <c r="B63" t="s">
        <v>231</v>
      </c>
      <c r="C63">
        <v>19.2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Spencer</dc:creator>
  <cp:keywords/>
  <dc:description/>
  <cp:lastModifiedBy>Bruce Spencer</cp:lastModifiedBy>
  <cp:lastPrinted>1999-08-03T17:41:07Z</cp:lastPrinted>
  <dcterms:created xsi:type="dcterms:W3CDTF">1999-08-01T15:53:54Z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